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210" windowWidth="4140" windowHeight="2595" tabRatio="693" activeTab="0"/>
  </bookViews>
  <sheets>
    <sheet name="Spring Rate Calculator" sheetId="1" r:id="rId1"/>
    <sheet name="CSW Calculator" sheetId="2" r:id="rId2"/>
    <sheet name="Dual Rate Spring Rates" sheetId="3" r:id="rId3"/>
    <sheet name="Fr to Rr Fn Balance" sheetId="4" r:id="rId4"/>
    <sheet name="Equations &amp; Variables" sheetId="5" r:id="rId5"/>
  </sheets>
  <definedNames/>
  <calcPr fullCalcOnLoad="1"/>
</workbook>
</file>

<file path=xl/comments1.xml><?xml version="1.0" encoding="utf-8"?>
<comments xmlns="http://schemas.openxmlformats.org/spreadsheetml/2006/main">
  <authors>
    <author>J3 ACV 3-2</author>
    <author>Inspector</author>
  </authors>
  <commentList>
    <comment ref="A7" authorId="0">
      <text>
        <r>
          <rPr>
            <b/>
            <sz val="8"/>
            <rFont val="Tahoma"/>
            <family val="0"/>
          </rPr>
          <t>Corner Sprung Weight</t>
        </r>
      </text>
    </comment>
    <comment ref="A8" authorId="0">
      <text>
        <r>
          <rPr>
            <b/>
            <sz val="8"/>
            <rFont val="Tahoma"/>
            <family val="0"/>
          </rPr>
          <t>Wheel Travel</t>
        </r>
      </text>
    </comment>
    <comment ref="A9" authorId="0">
      <text>
        <r>
          <rPr>
            <b/>
            <sz val="8"/>
            <rFont val="Tahoma"/>
            <family val="0"/>
          </rPr>
          <t>Distance from shock mount to suspension pivot point, measured in inches.</t>
        </r>
      </text>
    </comment>
    <comment ref="A10" authorId="0">
      <text>
        <r>
          <rPr>
            <b/>
            <sz val="8"/>
            <rFont val="Tahoma"/>
            <family val="0"/>
          </rPr>
          <t>Distance from wheel centre to suspension pivot point, measured in inches.</t>
        </r>
      </text>
    </comment>
    <comment ref="A11" authorId="0">
      <text>
        <r>
          <rPr>
            <b/>
            <sz val="8"/>
            <rFont val="Tahoma"/>
            <family val="0"/>
          </rPr>
          <t>Angle of shock axis</t>
        </r>
      </text>
    </comment>
    <comment ref="A12" authorId="0">
      <text>
        <r>
          <rPr>
            <b/>
            <sz val="8"/>
            <rFont val="Tahoma"/>
            <family val="0"/>
          </rPr>
          <t>Suspension Height expresed as % of Wheel Travel desired for droop</t>
        </r>
      </text>
    </comment>
    <comment ref="A13" authorId="0">
      <text>
        <r>
          <rPr>
            <b/>
            <sz val="8"/>
            <rFont val="Tahoma"/>
            <family val="0"/>
          </rPr>
          <t>Step Up Ratio - by what percent is the Main Spring Rate greater than the Combined Spring Rate</t>
        </r>
      </text>
    </comment>
    <comment ref="A17" authorId="0">
      <text>
        <r>
          <rPr>
            <b/>
            <sz val="8"/>
            <rFont val="Tahoma"/>
            <family val="0"/>
          </rPr>
          <t>Target Initial Wheel Rate.
WRi = CSW / (WT * SH)
or
WRi = (CSW*(2PI*Fn)^2)/386.088</t>
        </r>
      </text>
    </comment>
    <comment ref="A18" authorId="0">
      <text>
        <r>
          <rPr>
            <b/>
            <sz val="8"/>
            <rFont val="Tahoma"/>
            <family val="0"/>
          </rPr>
          <t>Displacement Ratio
DR = (d1/d2)</t>
        </r>
      </text>
    </comment>
    <comment ref="A19" authorId="0">
      <text>
        <r>
          <rPr>
            <b/>
            <sz val="8"/>
            <rFont val="Tahoma"/>
            <family val="0"/>
          </rPr>
          <t>Angle Correction Factor
ACF = Cosine(alpha)</t>
        </r>
      </text>
    </comment>
    <comment ref="A21" authorId="0">
      <text>
        <r>
          <rPr>
            <b/>
            <sz val="8"/>
            <rFont val="Tahoma"/>
            <family val="0"/>
          </rPr>
          <t xml:space="preserve">Target Initial Suspension Frequency (Hz)
Fn = sqrt ((386.088 * Wri(t) ) / CSW ) / 2pi
</t>
        </r>
      </text>
    </comment>
    <comment ref="A22" authorId="0">
      <text>
        <r>
          <rPr>
            <b/>
            <sz val="8"/>
            <rFont val="Tahoma"/>
            <family val="0"/>
          </rPr>
          <t>Target Droop Travel</t>
        </r>
      </text>
    </comment>
    <comment ref="A23" authorId="0">
      <text>
        <r>
          <rPr>
            <b/>
            <sz val="8"/>
            <rFont val="Tahoma"/>
            <family val="0"/>
          </rPr>
          <t>Target Bump Travel
If Negative, selected Fn is too low for available Wheel Travel. Decrease selected Fn or increase Wheel  Travel.</t>
        </r>
      </text>
    </comment>
    <comment ref="A25" authorId="0">
      <text>
        <r>
          <rPr>
            <b/>
            <sz val="8"/>
            <rFont val="Tahoma"/>
            <family val="0"/>
          </rPr>
          <t>Target Initial (Combined) Spring Rate
Ki(t) = Wri(t) / IR</t>
        </r>
      </text>
    </comment>
    <comment ref="A26" authorId="0">
      <text>
        <r>
          <rPr>
            <b/>
            <sz val="8"/>
            <rFont val="Tahoma"/>
            <family val="0"/>
          </rPr>
          <t>Target Tender Spring Rate
Kt(t)= Km(t) * Ki(t) / (Km(t) – Ki(t))</t>
        </r>
      </text>
    </comment>
    <comment ref="A27" authorId="0">
      <text>
        <r>
          <rPr>
            <b/>
            <sz val="8"/>
            <rFont val="Tahoma"/>
            <family val="0"/>
          </rPr>
          <t>Target Main (Final) Spring Rate
 Km(t) = Ki(t) * SUR</t>
        </r>
      </text>
    </comment>
    <comment ref="A28" authorId="0">
      <text>
        <r>
          <rPr>
            <b/>
            <sz val="8"/>
            <rFont val="Tahoma"/>
            <family val="0"/>
          </rPr>
          <t>Step Up Ratio of traget spring rates.
SUR = (Km(t) / Ki(t)) *100%</t>
        </r>
      </text>
    </comment>
    <comment ref="A14" authorId="0">
      <text>
        <r>
          <rPr>
            <b/>
            <sz val="8"/>
            <rFont val="Tahoma"/>
            <family val="0"/>
          </rPr>
          <t>Suspension Frequency (Hz)</t>
        </r>
      </text>
    </comment>
    <comment ref="A20" authorId="0">
      <text>
        <r>
          <rPr>
            <b/>
            <sz val="8"/>
            <rFont val="Tahoma"/>
            <family val="0"/>
          </rPr>
          <t>Installation Ratio 
IR = (DR * ACF)</t>
        </r>
      </text>
    </comment>
    <comment ref="A38" authorId="0">
      <text>
        <r>
          <rPr>
            <b/>
            <sz val="8"/>
            <rFont val="Tahoma"/>
            <family val="0"/>
          </rPr>
          <t>Initial Wheel Rate (actual).
WRi = Ki * (IR)^2</t>
        </r>
      </text>
    </comment>
    <comment ref="A24" authorId="0">
      <text>
        <r>
          <rPr>
            <b/>
            <sz val="8"/>
            <rFont val="Tahoma"/>
            <family val="0"/>
          </rPr>
          <t>Target Suspension Height</t>
        </r>
        <r>
          <rPr>
            <sz val="8"/>
            <rFont val="Tahoma"/>
            <family val="0"/>
          </rPr>
          <t xml:space="preserve">
</t>
        </r>
      </text>
    </comment>
    <comment ref="A33" authorId="0">
      <text>
        <r>
          <rPr>
            <b/>
            <sz val="8"/>
            <rFont val="Tahoma"/>
            <family val="0"/>
          </rPr>
          <t>Tender Spring Rate</t>
        </r>
      </text>
    </comment>
    <comment ref="A34" authorId="0">
      <text>
        <r>
          <rPr>
            <b/>
            <sz val="8"/>
            <rFont val="Tahoma"/>
            <family val="0"/>
          </rPr>
          <t>Main Spring Rate</t>
        </r>
      </text>
    </comment>
    <comment ref="A37" authorId="0">
      <text>
        <r>
          <rPr>
            <b/>
            <sz val="8"/>
            <rFont val="Tahoma"/>
            <family val="0"/>
          </rPr>
          <t>Initial (Combined) Spring Rate (actual).
Ki = (Km * Kt) / (Km + Kt)</t>
        </r>
      </text>
    </comment>
    <comment ref="A39" authorId="0">
      <text>
        <r>
          <rPr>
            <b/>
            <sz val="8"/>
            <rFont val="Tahoma"/>
            <family val="0"/>
          </rPr>
          <t>Final Wheel Rate (actual).
WRf = Km * (IR)^2</t>
        </r>
      </text>
    </comment>
    <comment ref="A43" authorId="0">
      <text>
        <r>
          <rPr>
            <b/>
            <sz val="8"/>
            <rFont val="Tahoma"/>
            <family val="0"/>
          </rPr>
          <t>Actual Droop Travel</t>
        </r>
      </text>
    </comment>
    <comment ref="A44" authorId="0">
      <text>
        <r>
          <rPr>
            <b/>
            <sz val="8"/>
            <rFont val="Tahoma"/>
            <family val="0"/>
          </rPr>
          <t>Actual Bump Travel</t>
        </r>
      </text>
    </comment>
    <comment ref="A45" authorId="0">
      <text>
        <r>
          <rPr>
            <b/>
            <sz val="8"/>
            <rFont val="Tahoma"/>
            <family val="0"/>
          </rPr>
          <t>Actual Suspension Height</t>
        </r>
        <r>
          <rPr>
            <sz val="8"/>
            <rFont val="Tahoma"/>
            <family val="0"/>
          </rPr>
          <t xml:space="preserve">
</t>
        </r>
      </text>
    </comment>
    <comment ref="A40" authorId="0">
      <text>
        <r>
          <rPr>
            <b/>
            <sz val="8"/>
            <rFont val="Tahoma"/>
            <family val="0"/>
          </rPr>
          <t>Step Up Ratio of actual wheel rates.
SUR = (WRf/WRi) *100%</t>
        </r>
      </text>
    </comment>
    <comment ref="A41" authorId="0">
      <text>
        <r>
          <rPr>
            <b/>
            <sz val="8"/>
            <rFont val="Tahoma"/>
            <family val="0"/>
          </rPr>
          <t>Actual Initial Suspension Frequency (Hz)
Fn(i) = sqrt ((386.088 * WRi) ) / CSW ) / 2pi</t>
        </r>
      </text>
    </comment>
    <comment ref="B4" authorId="0">
      <text>
        <r>
          <rPr>
            <b/>
            <sz val="8"/>
            <rFont val="Tahoma"/>
            <family val="0"/>
          </rPr>
          <t>Use the Suspension Height" method if you have a specific amount of suspension droop as your goal.</t>
        </r>
      </text>
    </comment>
    <comment ref="B12" authorId="0">
      <text>
        <r>
          <rPr>
            <b/>
            <sz val="8"/>
            <rFont val="Tahoma"/>
            <family val="0"/>
          </rPr>
          <t>The greater the RH%, the more droop available, and the softer the spring rates (and ride and handling).
If intuition/experience/testing suggests that spring rates resulting from the desire for large amounts of droop will be too soft (likely to exhibit excessive body roll/shock bottoming), a higher spring rate can be used and the droop re-gained by adjusting the coilover spring seats and using a short/flat helper spring.
As a rule of thumb 40% RH gives good ride/handling but many rock-crawlers will want more than 40% droop.</t>
        </r>
      </text>
    </comment>
    <comment ref="B13" authorId="0">
      <text>
        <r>
          <rPr>
            <b/>
            <sz val="8"/>
            <rFont val="Tahoma"/>
            <family val="0"/>
          </rPr>
          <t>The greater the SUR, the greater the jump in spring rate from combined to main rate (when the tender coil binds or the dual-rate slider hits the stop).
Lower values will give a smoother progression, higher values can be useful if rig is to be jumped or to be used fast over rough ground.</t>
        </r>
      </text>
    </comment>
    <comment ref="E4" authorId="0">
      <text>
        <r>
          <rPr>
            <b/>
            <sz val="8"/>
            <rFont val="Tahoma"/>
            <family val="0"/>
          </rPr>
          <t>Use the "Suspension Frequency" method if you have a traget frequency in mind as your goal.</t>
        </r>
      </text>
    </comment>
    <comment ref="E14" authorId="0">
      <text>
        <r>
          <rPr>
            <b/>
            <sz val="8"/>
            <rFont val="Tahoma"/>
            <family val="0"/>
          </rPr>
          <t>Front Suspension Frequency
Possible Suggested Values
Slow, flexy crawler (&lt;=15mph) - use 0.849
All purpose trails - use 1.107
High Speed / Street - use 1.429</t>
        </r>
      </text>
    </comment>
    <comment ref="F14" authorId="0">
      <text>
        <r>
          <rPr>
            <b/>
            <sz val="8"/>
            <rFont val="Tahoma"/>
            <family val="0"/>
          </rPr>
          <t>Possible Suggested Values
Slow, flexy crawler (&lt;=15mph) - use 0.935
All purpose trails - use 1.107
High Speed / Street - use 1.565</t>
        </r>
      </text>
    </comment>
    <comment ref="A42" authorId="0">
      <text>
        <r>
          <rPr>
            <b/>
            <sz val="8"/>
            <rFont val="Tahoma"/>
            <family val="0"/>
          </rPr>
          <t>Actual Final Suspension Frequency (Hz)
Fn(f) = sqrt ((386.088 * WRf) ) / CSW ) / 2pi</t>
        </r>
      </text>
    </comment>
    <comment ref="A29" authorId="1">
      <text>
        <r>
          <rPr>
            <b/>
            <sz val="8"/>
            <rFont val="Tahoma"/>
            <family val="0"/>
          </rPr>
          <t xml:space="preserve">Target Final Wheel Rate.
WRf(t) = Km(t) * IR^2
</t>
        </r>
      </text>
    </comment>
    <comment ref="A30" authorId="1">
      <text>
        <r>
          <rPr>
            <b/>
            <sz val="8"/>
            <rFont val="Tahoma"/>
            <family val="0"/>
          </rPr>
          <t>Target Final Suspension Frequency (Hz)
Fn(f)(t) = sqrt ((386.088 * Wrf(t) ) / CSW ) / 2pi</t>
        </r>
      </text>
    </comment>
  </commentList>
</comments>
</file>

<file path=xl/comments2.xml><?xml version="1.0" encoding="utf-8"?>
<comments xmlns="http://schemas.openxmlformats.org/spreadsheetml/2006/main">
  <authors>
    <author>J3 ACV 3-2</author>
    <author>BillaVista</author>
  </authors>
  <commentList>
    <comment ref="A9" authorId="0">
      <text>
        <r>
          <rPr>
            <b/>
            <sz val="8"/>
            <rFont val="Tahoma"/>
            <family val="0"/>
          </rPr>
          <t>Displacement Ratio
DR = (d1/d2)</t>
        </r>
      </text>
    </comment>
    <comment ref="A10" authorId="0">
      <text>
        <r>
          <rPr>
            <b/>
            <sz val="8"/>
            <rFont val="Tahoma"/>
            <family val="0"/>
          </rPr>
          <t>Angle Correction Factor
ACF = Cosine(alpha)</t>
        </r>
      </text>
    </comment>
    <comment ref="A11" authorId="0">
      <text>
        <r>
          <rPr>
            <b/>
            <sz val="8"/>
            <rFont val="Tahoma"/>
            <family val="0"/>
          </rPr>
          <t>Installation Ratio 
IR = (DR * ACF)</t>
        </r>
      </text>
    </comment>
    <comment ref="A5" authorId="0">
      <text>
        <r>
          <rPr>
            <b/>
            <sz val="8"/>
            <rFont val="Tahoma"/>
            <family val="0"/>
          </rPr>
          <t>Distance from shock mount to suspension pivot point, measured in inches.</t>
        </r>
      </text>
    </comment>
    <comment ref="A6" authorId="0">
      <text>
        <r>
          <rPr>
            <b/>
            <sz val="8"/>
            <rFont val="Tahoma"/>
            <family val="0"/>
          </rPr>
          <t>Distance from wheel centre to suspension pivot point, measured in inches.</t>
        </r>
      </text>
    </comment>
    <comment ref="A7" authorId="0">
      <text>
        <r>
          <rPr>
            <b/>
            <sz val="8"/>
            <rFont val="Tahoma"/>
            <family val="0"/>
          </rPr>
          <t>Angle of shock axis</t>
        </r>
      </text>
    </comment>
    <comment ref="A15" authorId="0">
      <text>
        <r>
          <rPr>
            <b/>
            <sz val="8"/>
            <rFont val="Tahoma"/>
            <family val="0"/>
          </rPr>
          <t>Enter the Wire Diameter (Dw)
The spring’s wire diameter is the diameter of the wire from which the spring is wound.</t>
        </r>
      </text>
    </comment>
    <comment ref="A16" authorId="0">
      <text>
        <r>
          <rPr>
            <b/>
            <sz val="8"/>
            <rFont val="Tahoma"/>
            <family val="0"/>
          </rPr>
          <t>Enter the ID of the coil
e.g. 2.5"</t>
        </r>
      </text>
    </comment>
    <comment ref="A17" authorId="0">
      <text>
        <r>
          <rPr>
            <b/>
            <sz val="8"/>
            <rFont val="Tahoma"/>
            <family val="0"/>
          </rPr>
          <t>Coil Mean Diameter (Dm)
The spring’s coil mean diameter is the diameter of the spring measured between the centres of the coils. It is equal to the inside diameter plus the wire diameter.
Dm = Di + Dw</t>
        </r>
      </text>
    </comment>
    <comment ref="A18" authorId="0">
      <text>
        <r>
          <rPr>
            <b/>
            <sz val="8"/>
            <rFont val="Tahoma"/>
            <family val="0"/>
          </rPr>
          <t>Number of Active Coils (Na)
The number of active coils in a spring is the number of coils that are free to compress under load. Normally this is equal to the total number of coils minus two (i.e. minus the coil at each end). This is because the coil at each end is fixed against its spring seat and therefore unable to compress.</t>
        </r>
      </text>
    </comment>
    <comment ref="A19" authorId="0">
      <text>
        <r>
          <rPr>
            <b/>
            <sz val="8"/>
            <rFont val="Tahoma"/>
            <family val="0"/>
          </rPr>
          <t xml:space="preserve">k - the coil spring's spring rate, in lbs per inch.
k = 11,250,000 * (Dw)^4 / 8 * Na * (Dm)^3
</t>
        </r>
      </text>
    </comment>
    <comment ref="A23" authorId="0">
      <text>
        <r>
          <rPr>
            <b/>
            <sz val="8"/>
            <rFont val="Tahoma"/>
            <family val="0"/>
          </rPr>
          <t>Enter advertised rate of spring or rate calculated from spring's dimensions in step 2 above</t>
        </r>
      </text>
    </comment>
    <comment ref="A25" authorId="0">
      <text>
        <r>
          <rPr>
            <b/>
            <sz val="8"/>
            <rFont val="Tahoma"/>
            <family val="0"/>
          </rPr>
          <t>Enter advertised rate of spring or rate calculated from spring's dimensions in step 2 above</t>
        </r>
      </text>
    </comment>
    <comment ref="A51" authorId="1">
      <text>
        <r>
          <rPr>
            <b/>
            <sz val="8"/>
            <rFont val="Tahoma"/>
            <family val="0"/>
          </rPr>
          <t xml:space="preserve">Fw = k * Ds * IR; or
Corner Sprung Weight = spring rate times spring deflection at ride heigt time the installation ratio. </t>
        </r>
      </text>
    </comment>
    <comment ref="A53" authorId="1">
      <text>
        <r>
          <rPr>
            <b/>
            <sz val="8"/>
            <rFont val="Tahoma"/>
            <family val="0"/>
          </rPr>
          <t xml:space="preserve">Fw = k * Ds * IR; or
Corner Sprung Weight = spring rate times spring deflection at ride heigt time the installation ratio. </t>
        </r>
      </text>
    </comment>
    <comment ref="A55" authorId="1">
      <text>
        <r>
          <rPr>
            <b/>
            <sz val="8"/>
            <rFont val="Tahoma"/>
            <family val="0"/>
          </rPr>
          <t xml:space="preserve">Fw = k * Ds * IR; or
Corner Sprung Weight = spring rate times spring deflection at ride heigt time the installation ratio. </t>
        </r>
      </text>
    </comment>
  </commentList>
</comments>
</file>

<file path=xl/comments4.xml><?xml version="1.0" encoding="utf-8"?>
<comments xmlns="http://schemas.openxmlformats.org/spreadsheetml/2006/main">
  <authors>
    <author>J3 ACV 3-2</author>
  </authors>
  <commentList>
    <comment ref="A8" authorId="0">
      <text>
        <r>
          <rPr>
            <b/>
            <sz val="8"/>
            <rFont val="Tahoma"/>
            <family val="0"/>
          </rPr>
          <t>Enter the vehicle's wheelbase in inches.
WB</t>
        </r>
      </text>
    </comment>
    <comment ref="A9" authorId="0">
      <text>
        <r>
          <rPr>
            <b/>
            <sz val="8"/>
            <rFont val="Tahoma"/>
            <family val="0"/>
          </rPr>
          <t>Enter the speed at which you wish anti-pitch to be greatest, in miles per hour.
S</t>
        </r>
      </text>
    </comment>
    <comment ref="A10" authorId="0">
      <text>
        <r>
          <rPr>
            <b/>
            <sz val="8"/>
            <rFont val="Tahoma"/>
            <family val="0"/>
          </rPr>
          <t>Enter the suspension frequency of the front suspension, in Hz.
Fn(f)</t>
        </r>
      </text>
    </comment>
    <comment ref="A16" authorId="0">
      <text>
        <r>
          <rPr>
            <b/>
            <sz val="8"/>
            <rFont val="Tahoma"/>
            <family val="0"/>
          </rPr>
          <t>Calculated rear suspension frequency in Hz.
Fn(r) = 1 / Pr</t>
        </r>
        <r>
          <rPr>
            <sz val="8"/>
            <rFont val="Tahoma"/>
            <family val="0"/>
          </rPr>
          <t xml:space="preserve">
 </t>
        </r>
      </text>
    </comment>
    <comment ref="A12" authorId="0">
      <text>
        <r>
          <rPr>
            <b/>
            <sz val="8"/>
            <rFont val="Tahoma"/>
            <family val="0"/>
          </rPr>
          <t>Time to travel wheelbase in seconds.
Twb = (0.0568 * WB) / S</t>
        </r>
      </text>
    </comment>
    <comment ref="A13" authorId="0">
      <text>
        <r>
          <rPr>
            <b/>
            <sz val="8"/>
            <rFont val="Tahoma"/>
            <family val="0"/>
          </rPr>
          <t>The period of the front suspension, in seconds.
Pf = 1 / Fn(f)</t>
        </r>
      </text>
    </comment>
    <comment ref="A14" authorId="0">
      <text>
        <r>
          <rPr>
            <b/>
            <sz val="8"/>
            <rFont val="Tahoma"/>
            <family val="0"/>
          </rPr>
          <t>The calculated period of the rear suspension, in seconds.
Pr = Pf - Twb</t>
        </r>
      </text>
    </comment>
    <comment ref="A18" authorId="0">
      <text>
        <r>
          <rPr>
            <b/>
            <sz val="8"/>
            <rFont val="Tahoma"/>
            <family val="0"/>
          </rPr>
          <t>The amout by which the rear suspension is higher than the front suspension, expressed as a percentage of the front suspension.</t>
        </r>
      </text>
    </comment>
    <comment ref="A21" authorId="0">
      <text>
        <r>
          <rPr>
            <b/>
            <sz val="8"/>
            <rFont val="Tahoma"/>
            <family val="0"/>
          </rPr>
          <t>Enter the vehicle's wheelbase in inches.
WB</t>
        </r>
      </text>
    </comment>
    <comment ref="A22" authorId="0">
      <text>
        <r>
          <rPr>
            <b/>
            <sz val="8"/>
            <rFont val="Tahoma"/>
            <family val="0"/>
          </rPr>
          <t>Enter the speed at which you wish anti-pitch to be greatest, in miles per hour.
S</t>
        </r>
      </text>
    </comment>
    <comment ref="A23" authorId="0">
      <text>
        <r>
          <rPr>
            <b/>
            <sz val="8"/>
            <rFont val="Tahoma"/>
            <family val="0"/>
          </rPr>
          <t>Enter the suspension frequency of the rear suspension, in Hz.
Fn(r)</t>
        </r>
      </text>
    </comment>
    <comment ref="A25" authorId="0">
      <text>
        <r>
          <rPr>
            <b/>
            <sz val="8"/>
            <rFont val="Tahoma"/>
            <family val="0"/>
          </rPr>
          <t>Time to travel wheelbase in seconds.
Twb = (0.0568 * WB) / S</t>
        </r>
      </text>
    </comment>
    <comment ref="A26" authorId="0">
      <text>
        <r>
          <rPr>
            <b/>
            <sz val="8"/>
            <rFont val="Tahoma"/>
            <family val="0"/>
          </rPr>
          <t>The period of the rear suspension, in seconds.
Pr = 1 / Fn(r)</t>
        </r>
      </text>
    </comment>
    <comment ref="A27" authorId="0">
      <text>
        <r>
          <rPr>
            <b/>
            <sz val="8"/>
            <rFont val="Tahoma"/>
            <family val="0"/>
          </rPr>
          <t>The calculated period of the front suspension, in seconds.
Pf = Pr + Twb</t>
        </r>
      </text>
    </comment>
    <comment ref="A29" authorId="0">
      <text>
        <r>
          <rPr>
            <b/>
            <sz val="8"/>
            <rFont val="Tahoma"/>
            <family val="0"/>
          </rPr>
          <t>Calculated front suspension frequency in Hz.
Fn(f) = 1 / Pf</t>
        </r>
        <r>
          <rPr>
            <sz val="8"/>
            <rFont val="Tahoma"/>
            <family val="0"/>
          </rPr>
          <t xml:space="preserve">
 </t>
        </r>
      </text>
    </comment>
    <comment ref="A31" authorId="0">
      <text>
        <r>
          <rPr>
            <b/>
            <sz val="8"/>
            <rFont val="Tahoma"/>
            <family val="0"/>
          </rPr>
          <t>The amout by which the rear suspension is higher than the front suspension, expressed as a percentage of the front suspension.</t>
        </r>
      </text>
    </comment>
  </commentList>
</comments>
</file>

<file path=xl/sharedStrings.xml><?xml version="1.0" encoding="utf-8"?>
<sst xmlns="http://schemas.openxmlformats.org/spreadsheetml/2006/main" count="292" uniqueCount="267">
  <si>
    <t>ACF</t>
  </si>
  <si>
    <t>Front</t>
  </si>
  <si>
    <t>Rear</t>
  </si>
  <si>
    <t>CSW (lbs)</t>
  </si>
  <si>
    <t>WT (in)</t>
  </si>
  <si>
    <t>SUR (%)</t>
  </si>
  <si>
    <t>DT (in)</t>
  </si>
  <si>
    <t>BT (in)</t>
  </si>
  <si>
    <t>Notes</t>
  </si>
  <si>
    <t>Result Outputs</t>
  </si>
  <si>
    <t>Target Outputs</t>
  </si>
  <si>
    <t>Inputs</t>
  </si>
  <si>
    <t>IR</t>
  </si>
  <si>
    <t>DTt (in)</t>
  </si>
  <si>
    <t>BTt (in)</t>
  </si>
  <si>
    <t>Result Inputs</t>
  </si>
  <si>
    <t>Percentage of wheel travel desired to be available for droop. i.e. how much of the shock shaft is in the body as static ride height.</t>
  </si>
  <si>
    <t>Enter the springs you actually intend to use</t>
  </si>
  <si>
    <t>~ Ajust the SUR between 200-300% and observe the effects.</t>
  </si>
  <si>
    <t>~ Calculator may not provide spring rates commercially available in your chosen brand/length/I.D. Pick the closest available and plug into "Result Inputs" to see actual results.</t>
  </si>
  <si>
    <t>~ You can plug various commercially available spring rates into the "Result Inputs" section to see the range of possibilities. Particularly useful if you are choosing to buy a "range" of springs with which to test &amp; eval.</t>
  </si>
  <si>
    <t>Generates suggested tender and main spring rates to achieve desired reults.</t>
  </si>
  <si>
    <t>Suspension characteristics based on actual selected springs.</t>
  </si>
  <si>
    <t xml:space="preserve">Suspension Frequency </t>
  </si>
  <si>
    <t>Fn (Hz)</t>
  </si>
  <si>
    <t>Ki(t) (lbs/in)</t>
  </si>
  <si>
    <t>Kt(t) (lbs/in)</t>
  </si>
  <si>
    <t>Km(t) (lbs/in)</t>
  </si>
  <si>
    <t>Kt (lbs/in)</t>
  </si>
  <si>
    <t>Km (lbs/in)</t>
  </si>
  <si>
    <t>Ki (lbs/in)</t>
  </si>
  <si>
    <t>WRi (lbs/in)</t>
  </si>
  <si>
    <t>WRf (lbs.in)</t>
  </si>
  <si>
    <t>WRi(t) (lbs/in)</t>
  </si>
  <si>
    <t>Tender Spring Rate</t>
  </si>
  <si>
    <t>Main Spring Rate</t>
  </si>
  <si>
    <t>The intersection of the two gives the combined (initial) spring rate.</t>
  </si>
  <si>
    <t>Tender Spring Rates are listed across the top, Main Spring Rates are listed down the left side.</t>
  </si>
  <si>
    <t>SH (%)</t>
  </si>
  <si>
    <t>SHt (%)</t>
  </si>
  <si>
    <t>Suspension Height</t>
  </si>
  <si>
    <t>The initial (combined) spring rate of the selected springs</t>
  </si>
  <si>
    <t>Main Spring - Rate (lbs/in)</t>
  </si>
  <si>
    <t>Tender Spring - Rate (lbs/in)</t>
  </si>
  <si>
    <t>Combined Spring Rate (lbs/in)</t>
  </si>
  <si>
    <t>Main Spring - Free Length (in)</t>
  </si>
  <si>
    <t>Main Spring - Length at Ride Height (in)</t>
  </si>
  <si>
    <t>Tender Spring - Free Length (in)</t>
  </si>
  <si>
    <t>Tender Spring - Length at Ride Height (in)</t>
  </si>
  <si>
    <t>Combined Springs - Free Length (in)</t>
  </si>
  <si>
    <t>Combined Springs - Length at Ride Height (in)</t>
  </si>
  <si>
    <t>LEFT FRONT</t>
  </si>
  <si>
    <t>RIGHT FRONT</t>
  </si>
  <si>
    <t>LEFT REAR</t>
  </si>
  <si>
    <t>RIGHT REAR</t>
  </si>
  <si>
    <t>Corner Sprung Weight Calculator</t>
  </si>
  <si>
    <t>~ User entered values are in green text</t>
  </si>
  <si>
    <t>Main Spring - Deflection at Ride Height (in)</t>
  </si>
  <si>
    <t>Tender Spring - Deflection at Ride Height (in)</t>
  </si>
  <si>
    <t>Combined Springs - Deflection at Ride Height (in)</t>
  </si>
  <si>
    <t>Corner Sprung Weight - by Main Spring (lbs)</t>
  </si>
  <si>
    <t>Corner Sprung Weight - by Tender Spring (lbs)</t>
  </si>
  <si>
    <t>Corner Sprung Weight - by Combined Springs (lbs)</t>
  </si>
  <si>
    <t>Corner Sprung Weight - average (lbs)</t>
  </si>
  <si>
    <t>~ Calculated values are in black text, average in blue text</t>
  </si>
  <si>
    <t>RH</t>
  </si>
  <si>
    <t>SH</t>
  </si>
  <si>
    <t>WT</t>
  </si>
  <si>
    <t>DT</t>
  </si>
  <si>
    <t>BT</t>
  </si>
  <si>
    <t>Ride Height</t>
  </si>
  <si>
    <t>Wheel Travel</t>
  </si>
  <si>
    <t>Droop Travel</t>
  </si>
  <si>
    <t>Bump Travel</t>
  </si>
  <si>
    <t>Di</t>
  </si>
  <si>
    <t>Dw</t>
  </si>
  <si>
    <t>Dm</t>
  </si>
  <si>
    <t>Na</t>
  </si>
  <si>
    <t>k</t>
  </si>
  <si>
    <t>Lo</t>
  </si>
  <si>
    <t>Lc</t>
  </si>
  <si>
    <t>Sc</t>
  </si>
  <si>
    <t>Fc</t>
  </si>
  <si>
    <t>Fn</t>
  </si>
  <si>
    <t>Inside Diameter</t>
  </si>
  <si>
    <t>Wire Diameter</t>
  </si>
  <si>
    <t>Mean Diameter</t>
  </si>
  <si>
    <t>Number of Active Coils</t>
  </si>
  <si>
    <t>Spring Rate</t>
  </si>
  <si>
    <t>Free Length</t>
  </si>
  <si>
    <t>Block Height</t>
  </si>
  <si>
    <t xml:space="preserve">Travel (max defection) </t>
  </si>
  <si>
    <t>Force Limit</t>
  </si>
  <si>
    <t>Ki</t>
  </si>
  <si>
    <t>Km</t>
  </si>
  <si>
    <t>Kt</t>
  </si>
  <si>
    <t>Initial Spring Rate (of combined springs)</t>
  </si>
  <si>
    <t>Spring Rate of Main Spring</t>
  </si>
  <si>
    <t>Spring Rate of Tender Spring</t>
  </si>
  <si>
    <t>Kf</t>
  </si>
  <si>
    <t>Final Spring rate</t>
  </si>
  <si>
    <t>CW</t>
  </si>
  <si>
    <t>CSW</t>
  </si>
  <si>
    <t>CUW</t>
  </si>
  <si>
    <t>Corner Weight</t>
  </si>
  <si>
    <t>Corner Sprung Weight</t>
  </si>
  <si>
    <t>Corner Unsprung Weight</t>
  </si>
  <si>
    <t>Dm = Di + Dw</t>
  </si>
  <si>
    <t>k = 11,250,000 * (Dw)^4 / 8 * Na * (Dm)^3</t>
  </si>
  <si>
    <t>Fn = 3.13/sqrt(x)</t>
  </si>
  <si>
    <t>Ki = (Km * Kt) / (Km + Kt)</t>
  </si>
  <si>
    <t>Kf = Km</t>
  </si>
  <si>
    <t>CSW = CW – CUW</t>
  </si>
  <si>
    <t>SUR</t>
  </si>
  <si>
    <t>Step-up Ratio</t>
  </si>
  <si>
    <t>SUR = (Kf / Ki) *100%</t>
  </si>
  <si>
    <t>d1</t>
  </si>
  <si>
    <t>d2</t>
  </si>
  <si>
    <t>F1</t>
  </si>
  <si>
    <t>F2</t>
  </si>
  <si>
    <t>Suspension</t>
  </si>
  <si>
    <t>Levers</t>
  </si>
  <si>
    <t>Springs</t>
  </si>
  <si>
    <t>length of the load arm</t>
  </si>
  <si>
    <t>length of the effort arm</t>
  </si>
  <si>
    <t>Load</t>
  </si>
  <si>
    <t>Effort</t>
  </si>
  <si>
    <t>F1*d1 = F2*d2</t>
  </si>
  <si>
    <t>F1 = (F2 * d2) / d1.</t>
  </si>
  <si>
    <t>MA = d2/d1.</t>
  </si>
  <si>
    <t>MA</t>
  </si>
  <si>
    <t>Mechanical advantage</t>
  </si>
  <si>
    <t>DR = d1/d2</t>
  </si>
  <si>
    <t>DR</t>
  </si>
  <si>
    <t>Displacement Ratio</t>
  </si>
  <si>
    <t>ACF = cos(alpha)</t>
  </si>
  <si>
    <t>Angles</t>
  </si>
  <si>
    <t>Angle correction factor</t>
  </si>
  <si>
    <t>alpha</t>
  </si>
  <si>
    <t>Angle alpha</t>
  </si>
  <si>
    <t xml:space="preserve">IR = DR * ACF </t>
  </si>
  <si>
    <t>Installation ratio</t>
  </si>
  <si>
    <t>ST = WT * IR</t>
  </si>
  <si>
    <t>ST</t>
  </si>
  <si>
    <t>Shock / Spring Travel</t>
  </si>
  <si>
    <t>WT = ST / IR</t>
  </si>
  <si>
    <t>IR = ST / WT</t>
  </si>
  <si>
    <t>IR = DR * ACF = (d1/d2) * cos(alpha)</t>
  </si>
  <si>
    <t>WR = k * IR^2</t>
  </si>
  <si>
    <t>WR</t>
  </si>
  <si>
    <t>Wheel rate</t>
  </si>
  <si>
    <t>WRi = Ki * (IR)^2</t>
  </si>
  <si>
    <t>Wri</t>
  </si>
  <si>
    <t>WRf = Km * (IR)^2</t>
  </si>
  <si>
    <t>Wrf</t>
  </si>
  <si>
    <t>Initial wheel rate</t>
  </si>
  <si>
    <t>Final wheel rate</t>
  </si>
  <si>
    <t>SH = Fn / IR</t>
  </si>
  <si>
    <t>WR = CSW / (WT * SH %)</t>
  </si>
  <si>
    <t>Suspension frequency</t>
  </si>
  <si>
    <t>Equations</t>
  </si>
  <si>
    <t>Green inputs are measured. Blue inputs are subjective targets</t>
  </si>
  <si>
    <t>d1 (in)</t>
  </si>
  <si>
    <t>d2 (in)</t>
  </si>
  <si>
    <t>alpha (˚)</t>
  </si>
  <si>
    <t>Fn(i)(t) (Hz)</t>
  </si>
  <si>
    <t>Fn(f((t) (Hz)</t>
  </si>
  <si>
    <t>WRf(t) lbs/in</t>
  </si>
  <si>
    <t>Fn(i) (Hz)</t>
  </si>
  <si>
    <t>Fn(f) (Hz)</t>
  </si>
  <si>
    <t>Length of suspension-lever load arm = distance from shock mount to suspension pivot point</t>
  </si>
  <si>
    <t>Length of suspension-lever effort arm = distance from wheel centre to suspension pivot point</t>
  </si>
  <si>
    <t>Angle between shock axis and vertical (if shock mounted on axle) or angle between shock axis and lower link (if shock mounted on lower link), measured with angle finder</t>
  </si>
  <si>
    <t>Actual measured total wheel travel available from full droop to full bump in ride mode with shocks installed but no springs</t>
  </si>
  <si>
    <t>Corner sprung weight = the weight on that corner supported by the springs</t>
  </si>
  <si>
    <t>Normally 200-300%. In a dula-rate spring setup, step-up ratio is the percentage by which the spring rate jumps at the transition from the initial spring rate to the final (main) spring rate.</t>
  </si>
  <si>
    <t>Target initial wheel rate - the wheel rate we're aiming for with the given (blue) inputs</t>
  </si>
  <si>
    <t xml:space="preserve"> Displacement ratio describes the relationship between wheel travel and shock travel that results from the lever between wheel and shock created by the mounting location of the shock.</t>
  </si>
  <si>
    <t>Angle correction factor describes the relationship between wheel travel and shock travel that results from the angle at which the shock is mounted.</t>
  </si>
  <si>
    <t>The IR is the ratio of wheel travel to spring/shock travel. IR combines the displacement ratio and the angle correction factor into a single ratio that relates wheel travel to shock travel by accounting for the location and angle of the shock mounting (the shock geometry).</t>
  </si>
  <si>
    <t>Traget initial suspension frequency - the Fn that results from the initial wheel rate.</t>
  </si>
  <si>
    <t>Traget final suspension frequency - the Fn that results from the final wheel rate.</t>
  </si>
  <si>
    <t>The initial wheel rate achieved by the selected springs. Equal to the initial spring rate adjusted for installation ratio (DR &amp; ACF)</t>
  </si>
  <si>
    <t>Target Initial Spring Rate - based on target initial wheel rate and installation ratio</t>
  </si>
  <si>
    <t>Target tender spring rate - suggested tender spring rate to achieve target initial wheel rate</t>
  </si>
  <si>
    <t>Target main spring rate - suggested main spring rate based on target initial spring rate and chosen step-up ratio</t>
  </si>
  <si>
    <t>Step-up ratio given by the target spring rates.</t>
  </si>
  <si>
    <t>Target final wheel rate - the final wheel rate we're aiming for with the given (blue) inputs</t>
  </si>
  <si>
    <t>Actual tender spring rate used - select commercially available spring closest to target Kt</t>
  </si>
  <si>
    <t>Actual main spring rate used - select commercially available spring closest to target Km</t>
  </si>
  <si>
    <t>Final wheel rate - the wheel rate after the transition from the initial spring rate to the final spring rate. Equal to the selected main spring rate, adjusted for installation ratio (DR &amp; ACF)</t>
  </si>
  <si>
    <t>The initial suspension frequency achieved by the selected springs.</t>
  </si>
  <si>
    <t>The final suspension frequency achieved by the selected springs.</t>
  </si>
  <si>
    <t>~ Play with the corner sprung weights and observe what a huge difference they make. Accurate weights are VITAL. If you guess your weights, the calculator will guess your spring rates!!</t>
  </si>
  <si>
    <t>~ Adjust the shock mounting angle (alpha) and observe the results.</t>
  </si>
  <si>
    <t>The natural frequency (in cyles per second) of the undamped suspension.</t>
  </si>
  <si>
    <t>Fn = sqrt ((386.088 * WR ) / CSW ) / 2pi</t>
  </si>
  <si>
    <t>WR = (CSW*(2PI*Fn)^2)/386.088</t>
  </si>
  <si>
    <t>Variables</t>
  </si>
  <si>
    <t>The BillaVista Preliminary Spring Rate Calculator - © 2008 Bill "BillaVista" Ansell, All Rights Reserved.</t>
  </si>
  <si>
    <t>Calculator is designed to suggest preliminary spring rates on the basis of a desired suspension height or a desired suspension frequency</t>
  </si>
  <si>
    <t>Suggested preliminary spring rates are only a starting point - spring length, shock valving, link geometry, coilover mounting geometry, use of anti-roll bar, terrain, speed, personal preference and even seats and tires will all play a part in the ultimate expression of the vehicles ride and handling</t>
  </si>
  <si>
    <t>Method -----&gt;</t>
  </si>
  <si>
    <t>Step-up ratio between the initial wheel rate and the final wheel rate.</t>
  </si>
  <si>
    <t>Suspension height given by use of selected springs - assuming springs just fit between spring seats with shock fully extended</t>
  </si>
  <si>
    <t>Bump travel available with the selected springs - assuming springs just fit between spring seats with shock fully extended</t>
  </si>
  <si>
    <t>Droop travel available with the selected springs - assuming springs just fit between spring seats with shock fully extended</t>
  </si>
  <si>
    <t>Target droop travel - assuming springs just fit between spring seats with shock fully extended</t>
  </si>
  <si>
    <t>Target bump travel - assuming springs just fit between spring seats with shock fully extended</t>
  </si>
  <si>
    <t>Target suspension height - assuming springs just fit between spring seats with shock fully extended</t>
  </si>
  <si>
    <t>~ Droop travel, bump travel, &amp; suspension height figures are only valid if the springs just fit between spring seats with shock fully extended (i.e. if the springs just fit at shock travel = 0)</t>
  </si>
  <si>
    <t>Step 1- Calculate Installation Ratio</t>
  </si>
  <si>
    <t>Step 2 - Calculate Coil's Spring Rate (skip if rate is known)</t>
  </si>
  <si>
    <t>Dw (wire diameter) (in)</t>
  </si>
  <si>
    <t>Di (inside diameter) (in)</t>
  </si>
  <si>
    <t>Dm (coil mean diameter) (in)</t>
  </si>
  <si>
    <t>Na (number of active coils)</t>
  </si>
  <si>
    <t>K (spring rate) (lbs / in)</t>
  </si>
  <si>
    <t>Step 4 - Calculate Spring Deflection at Ride Height</t>
  </si>
  <si>
    <t>Force</t>
  </si>
  <si>
    <t>Fw</t>
  </si>
  <si>
    <t>Fs</t>
  </si>
  <si>
    <t>k = load / deflection (or force / deflection)</t>
  </si>
  <si>
    <t>Wheel Force</t>
  </si>
  <si>
    <t>Spring Force</t>
  </si>
  <si>
    <t>Fw=Fs*IR</t>
  </si>
  <si>
    <t>Fs=k*ST</t>
  </si>
  <si>
    <t>Fw=WR*WT</t>
  </si>
  <si>
    <t>Anti-Pitching</t>
  </si>
  <si>
    <t>Twb</t>
  </si>
  <si>
    <t>WB</t>
  </si>
  <si>
    <t>S</t>
  </si>
  <si>
    <t>Speed (mph)</t>
  </si>
  <si>
    <t>Wheelbase (in)</t>
  </si>
  <si>
    <t>Time to travel wheelbase (seconds)</t>
  </si>
  <si>
    <t>Twb = (0.0568 * WB) / S</t>
  </si>
  <si>
    <t>P</t>
  </si>
  <si>
    <t>Period (seconds)</t>
  </si>
  <si>
    <t>Pf</t>
  </si>
  <si>
    <t>Pr</t>
  </si>
  <si>
    <t>Period of front suspension (seconds)</t>
  </si>
  <si>
    <t>Period of rear suspension (seconds)</t>
  </si>
  <si>
    <t>P= 1 / Fn</t>
  </si>
  <si>
    <t>Pr = Pf - Twb</t>
  </si>
  <si>
    <t>Pf = Pr + Twb</t>
  </si>
  <si>
    <t>Fn = 1 / P</t>
  </si>
  <si>
    <t>Anti-Pitching Front to Rear Suspension Frequency Balance Calculator</t>
  </si>
  <si>
    <t>Method 1 - I know what I want my front suspension frequency to be - what should the rear be?</t>
  </si>
  <si>
    <t>Method 2 - I know what I want my rear suspension frequency to be - what should the front be?</t>
  </si>
  <si>
    <t>Fn(front) (Hz)</t>
  </si>
  <si>
    <t>Twb (s)</t>
  </si>
  <si>
    <t>Fn(rear) (Hz)</t>
  </si>
  <si>
    <t>Pf (s)</t>
  </si>
  <si>
    <t>Pr (s)</t>
  </si>
  <si>
    <t>% Difference</t>
  </si>
  <si>
    <t>~ Calculated values are in black text.</t>
  </si>
  <si>
    <t>~ User entered values are in green text.</t>
  </si>
  <si>
    <t>Use this simple calculator to determine by how much the front to rear suspension frequencies should differ to combat pitching at a given speed.</t>
  </si>
  <si>
    <t>There are multiple columns for data input so you can easily calculate and compare the results for different speeds and/or wheelbases</t>
  </si>
  <si>
    <t>The Big Five</t>
  </si>
  <si>
    <t>IR = Ds / Dw</t>
  </si>
  <si>
    <t>Fw = Fs * IR</t>
  </si>
  <si>
    <t>Dw = Ds / IR</t>
  </si>
  <si>
    <t>Fs = k * Ds</t>
  </si>
  <si>
    <t>Fw = WR * Dw</t>
  </si>
  <si>
    <t>Step 5 - Calculate Corner Sprung Weight from the spring rate, the installation ratio, and the spring deflection</t>
  </si>
  <si>
    <t>Step 3 - Enter Spring Rate (either manufacturer's spec or calculated in step 2 above)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</si>
</sst>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quot;Yes&quot;;&quot;Yes&quot;;&quot;No&quot;"/>
    <numFmt numFmtId="175" formatCode="&quot;True&quot;;&quot;True&quot;;&quot;False&quot;"/>
    <numFmt numFmtId="176" formatCode="&quot;On&quot;;&quot;On&quot;;&quot;Off&quot;"/>
    <numFmt numFmtId="177" formatCode="0.0%"/>
    <numFmt numFmtId="178" formatCode="0.0000"/>
    <numFmt numFmtId="179" formatCode="[$€-2]\ #,##0.00_);[Red]\([$€-2]\ #,##0.00\)"/>
    <numFmt numFmtId="180" formatCode="#,##0.0"/>
  </numFmts>
  <fonts count="18">
    <font>
      <sz val="10"/>
      <name val="Arial"/>
      <family val="0"/>
    </font>
    <font>
      <b/>
      <sz val="10"/>
      <name val="Arial"/>
      <family val="2"/>
    </font>
    <font>
      <b/>
      <sz val="8"/>
      <name val="Tahoma"/>
      <family val="0"/>
    </font>
    <font>
      <b/>
      <u val="single"/>
      <sz val="10"/>
      <name val="Arial"/>
      <family val="2"/>
    </font>
    <font>
      <sz val="10"/>
      <color indexed="18"/>
      <name val="Arial"/>
      <family val="2"/>
    </font>
    <font>
      <sz val="8"/>
      <name val="Tahoma"/>
      <family val="0"/>
    </font>
    <font>
      <sz val="9"/>
      <color indexed="8"/>
      <name val="Arial"/>
      <family val="2"/>
    </font>
    <font>
      <sz val="10"/>
      <color indexed="12"/>
      <name val="Arial"/>
      <family val="2"/>
    </font>
    <font>
      <u val="single"/>
      <sz val="10"/>
      <color indexed="12"/>
      <name val="Arial"/>
      <family val="0"/>
    </font>
    <font>
      <u val="single"/>
      <sz val="10"/>
      <color indexed="36"/>
      <name val="Arial"/>
      <family val="0"/>
    </font>
    <font>
      <sz val="10"/>
      <color indexed="8"/>
      <name val="Arial"/>
      <family val="2"/>
    </font>
    <font>
      <b/>
      <sz val="10"/>
      <color indexed="17"/>
      <name val="Arial"/>
      <family val="2"/>
    </font>
    <font>
      <b/>
      <sz val="10"/>
      <color indexed="12"/>
      <name val="Arial"/>
      <family val="2"/>
    </font>
    <font>
      <sz val="8"/>
      <name val="Arial"/>
      <family val="0"/>
    </font>
    <font>
      <b/>
      <sz val="10"/>
      <color indexed="57"/>
      <name val="Arial"/>
      <family val="2"/>
    </font>
    <font>
      <b/>
      <sz val="14"/>
      <color indexed="12"/>
      <name val="Arial"/>
      <family val="2"/>
    </font>
    <font>
      <sz val="14"/>
      <color indexed="12"/>
      <name val="Arial"/>
      <family val="0"/>
    </font>
    <font>
      <b/>
      <sz val="8"/>
      <name val="Arial"/>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4"/>
        <bgColor indexed="64"/>
      </patternFill>
    </fill>
  </fills>
  <borders count="8">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1" fontId="1" fillId="0" borderId="0" xfId="0" applyNumberFormat="1" applyFont="1" applyAlignment="1">
      <alignment/>
    </xf>
    <xf numFmtId="1" fontId="0" fillId="0" borderId="0" xfId="0" applyNumberFormat="1" applyAlignment="1">
      <alignment/>
    </xf>
    <xf numFmtId="1" fontId="1" fillId="2" borderId="0" xfId="0" applyNumberFormat="1" applyFont="1" applyFill="1" applyAlignment="1">
      <alignment/>
    </xf>
    <xf numFmtId="1" fontId="0" fillId="2" borderId="0" xfId="0" applyNumberFormat="1" applyFill="1" applyAlignment="1">
      <alignment/>
    </xf>
    <xf numFmtId="1" fontId="1" fillId="0" borderId="0" xfId="0" applyNumberFormat="1" applyFont="1" applyFill="1" applyAlignment="1">
      <alignment/>
    </xf>
    <xf numFmtId="1" fontId="0" fillId="0" borderId="0" xfId="0" applyNumberFormat="1" applyFill="1" applyAlignment="1">
      <alignment/>
    </xf>
    <xf numFmtId="0" fontId="1" fillId="0" borderId="0" xfId="0" applyFont="1" applyAlignment="1">
      <alignment/>
    </xf>
    <xf numFmtId="1" fontId="0" fillId="0" borderId="0" xfId="0" applyNumberFormat="1" applyFont="1" applyAlignment="1">
      <alignment/>
    </xf>
    <xf numFmtId="0" fontId="1" fillId="2" borderId="0" xfId="0" applyFont="1" applyFill="1" applyAlignment="1">
      <alignment/>
    </xf>
    <xf numFmtId="1" fontId="1" fillId="0" borderId="0" xfId="0" applyNumberFormat="1" applyFont="1" applyBorder="1" applyAlignment="1">
      <alignment/>
    </xf>
    <xf numFmtId="0" fontId="0" fillId="0" borderId="0" xfId="0" applyFont="1" applyAlignment="1">
      <alignment/>
    </xf>
    <xf numFmtId="0" fontId="0" fillId="0" borderId="0" xfId="0" applyFont="1" applyAlignment="1">
      <alignment wrapText="1"/>
    </xf>
    <xf numFmtId="0" fontId="4" fillId="0" borderId="0" xfId="0" applyFont="1" applyAlignment="1">
      <alignment/>
    </xf>
    <xf numFmtId="0" fontId="0" fillId="0" borderId="0" xfId="0" applyFont="1" applyBorder="1" applyAlignment="1">
      <alignment/>
    </xf>
    <xf numFmtId="0" fontId="0" fillId="0" borderId="0" xfId="0" applyFont="1" applyBorder="1" applyAlignment="1">
      <alignment wrapText="1"/>
    </xf>
    <xf numFmtId="1" fontId="0" fillId="0" borderId="0" xfId="0" applyNumberFormat="1" applyFont="1" applyBorder="1" applyAlignment="1">
      <alignment/>
    </xf>
    <xf numFmtId="178" fontId="0" fillId="0" borderId="0" xfId="0" applyNumberFormat="1" applyFont="1" applyAlignment="1">
      <alignment/>
    </xf>
    <xf numFmtId="178" fontId="0" fillId="0" borderId="0" xfId="0" applyNumberFormat="1" applyFont="1" applyBorder="1" applyAlignment="1">
      <alignment/>
    </xf>
    <xf numFmtId="2" fontId="0" fillId="0" borderId="0" xfId="0" applyNumberFormat="1" applyFont="1" applyAlignment="1">
      <alignment/>
    </xf>
    <xf numFmtId="173" fontId="0" fillId="0" borderId="0" xfId="0" applyNumberFormat="1" applyFont="1" applyAlignment="1">
      <alignment/>
    </xf>
    <xf numFmtId="173" fontId="0" fillId="0" borderId="0" xfId="0" applyNumberFormat="1" applyFont="1" applyBorder="1" applyAlignment="1">
      <alignment/>
    </xf>
    <xf numFmtId="172" fontId="0" fillId="0" borderId="0" xfId="0" applyNumberFormat="1" applyFont="1" applyAlignment="1">
      <alignment/>
    </xf>
    <xf numFmtId="0" fontId="7" fillId="0" borderId="0" xfId="0" applyFont="1" applyBorder="1" applyAlignment="1">
      <alignment/>
    </xf>
    <xf numFmtId="0" fontId="7" fillId="0" borderId="0" xfId="0" applyFont="1" applyFill="1" applyBorder="1" applyAlignment="1">
      <alignment/>
    </xf>
    <xf numFmtId="172" fontId="0" fillId="0" borderId="0" xfId="0" applyNumberFormat="1" applyFont="1" applyFill="1" applyAlignment="1">
      <alignment/>
    </xf>
    <xf numFmtId="172" fontId="0" fillId="0" borderId="0" xfId="0" applyNumberFormat="1" applyFont="1" applyFill="1" applyBorder="1" applyAlignment="1">
      <alignment/>
    </xf>
    <xf numFmtId="0" fontId="1" fillId="3" borderId="0" xfId="0" applyFont="1" applyFill="1" applyAlignment="1">
      <alignment/>
    </xf>
    <xf numFmtId="0" fontId="0" fillId="3" borderId="0" xfId="0" applyFont="1" applyFill="1" applyBorder="1" applyAlignment="1">
      <alignment/>
    </xf>
    <xf numFmtId="0" fontId="0" fillId="3" borderId="0" xfId="0" applyFont="1" applyFill="1" applyBorder="1" applyAlignment="1">
      <alignment wrapText="1"/>
    </xf>
    <xf numFmtId="0" fontId="0" fillId="3" borderId="0" xfId="0" applyFont="1" applyFill="1" applyAlignment="1">
      <alignment/>
    </xf>
    <xf numFmtId="1" fontId="1" fillId="3" borderId="0" xfId="0" applyNumberFormat="1" applyFont="1" applyFill="1" applyAlignment="1">
      <alignment/>
    </xf>
    <xf numFmtId="1" fontId="10" fillId="0" borderId="0" xfId="0" applyNumberFormat="1" applyFont="1" applyFill="1" applyAlignment="1">
      <alignment/>
    </xf>
    <xf numFmtId="1" fontId="10" fillId="2" borderId="0" xfId="0" applyNumberFormat="1" applyFont="1" applyFill="1" applyAlignment="1">
      <alignment/>
    </xf>
    <xf numFmtId="0" fontId="1" fillId="0" borderId="0" xfId="0" applyFont="1" applyBorder="1" applyAlignment="1">
      <alignment/>
    </xf>
    <xf numFmtId="1" fontId="12" fillId="0" borderId="0" xfId="0" applyNumberFormat="1" applyFont="1" applyFill="1" applyAlignment="1">
      <alignment/>
    </xf>
    <xf numFmtId="0" fontId="14" fillId="0" borderId="0" xfId="0" applyFont="1" applyAlignment="1">
      <alignment/>
    </xf>
    <xf numFmtId="1" fontId="12" fillId="0" borderId="0" xfId="0" applyNumberFormat="1" applyFont="1" applyAlignment="1">
      <alignment/>
    </xf>
    <xf numFmtId="0" fontId="15" fillId="0" borderId="0" xfId="0" applyFont="1" applyAlignment="1">
      <alignment/>
    </xf>
    <xf numFmtId="0" fontId="4" fillId="0" borderId="0" xfId="0" applyFont="1" applyBorder="1" applyAlignment="1">
      <alignment/>
    </xf>
    <xf numFmtId="0" fontId="1" fillId="3" borderId="0" xfId="0" applyFont="1" applyFill="1" applyBorder="1" applyAlignment="1">
      <alignment/>
    </xf>
    <xf numFmtId="0" fontId="0" fillId="0" borderId="0" xfId="0" applyBorder="1" applyAlignment="1">
      <alignment/>
    </xf>
    <xf numFmtId="0" fontId="6" fillId="0" borderId="0" xfId="0" applyFont="1" applyBorder="1" applyAlignment="1">
      <alignment/>
    </xf>
    <xf numFmtId="1" fontId="1" fillId="3" borderId="0" xfId="0" applyNumberFormat="1" applyFont="1" applyFill="1" applyBorder="1" applyAlignment="1">
      <alignment/>
    </xf>
    <xf numFmtId="172" fontId="0" fillId="0" borderId="0" xfId="0" applyNumberFormat="1" applyFont="1" applyBorder="1" applyAlignment="1">
      <alignment/>
    </xf>
    <xf numFmtId="2" fontId="0" fillId="0" borderId="0" xfId="0" applyNumberFormat="1" applyFont="1" applyBorder="1" applyAlignment="1">
      <alignment/>
    </xf>
    <xf numFmtId="0" fontId="0" fillId="0" borderId="1" xfId="0" applyFont="1" applyBorder="1" applyAlignment="1">
      <alignment/>
    </xf>
    <xf numFmtId="0" fontId="11" fillId="0" borderId="1" xfId="0" applyFont="1" applyBorder="1" applyAlignment="1">
      <alignment/>
    </xf>
    <xf numFmtId="0" fontId="11" fillId="0" borderId="1" xfId="0" applyFont="1" applyBorder="1" applyAlignment="1">
      <alignment wrapText="1"/>
    </xf>
    <xf numFmtId="0" fontId="1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xf>
    <xf numFmtId="0" fontId="12" fillId="0" borderId="1" xfId="0" applyFont="1" applyBorder="1" applyAlignment="1">
      <alignment wrapText="1"/>
    </xf>
    <xf numFmtId="1" fontId="0" fillId="0" borderId="1" xfId="0" applyNumberFormat="1" applyFont="1" applyBorder="1" applyAlignment="1">
      <alignment/>
    </xf>
    <xf numFmtId="178" fontId="0" fillId="0" borderId="1" xfId="0" applyNumberFormat="1" applyFont="1" applyBorder="1" applyAlignment="1">
      <alignment/>
    </xf>
    <xf numFmtId="172" fontId="0" fillId="0" borderId="1" xfId="0" applyNumberFormat="1" applyFont="1" applyFill="1" applyBorder="1" applyAlignment="1">
      <alignment/>
    </xf>
    <xf numFmtId="173" fontId="0" fillId="0" borderId="1" xfId="0" applyNumberFormat="1" applyFont="1" applyBorder="1" applyAlignment="1">
      <alignment/>
    </xf>
    <xf numFmtId="1" fontId="1" fillId="0" borderId="1" xfId="0" applyNumberFormat="1" applyFont="1" applyBorder="1" applyAlignment="1">
      <alignment/>
    </xf>
    <xf numFmtId="0" fontId="7" fillId="0" borderId="1" xfId="0" applyFont="1" applyBorder="1" applyAlignment="1">
      <alignment/>
    </xf>
    <xf numFmtId="0" fontId="7" fillId="0" borderId="1" xfId="0" applyFont="1" applyFill="1" applyBorder="1" applyAlignment="1">
      <alignment/>
    </xf>
    <xf numFmtId="172" fontId="0" fillId="0" borderId="1" xfId="0" applyNumberFormat="1" applyFont="1" applyBorder="1" applyAlignment="1">
      <alignment/>
    </xf>
    <xf numFmtId="2" fontId="0" fillId="0" borderId="1" xfId="0" applyNumberFormat="1" applyFont="1" applyBorder="1" applyAlignment="1">
      <alignment/>
    </xf>
    <xf numFmtId="0" fontId="3" fillId="0" borderId="2" xfId="0" applyFont="1" applyBorder="1" applyAlignment="1">
      <alignment/>
    </xf>
    <xf numFmtId="0" fontId="0" fillId="0" borderId="2" xfId="0" applyBorder="1" applyAlignment="1">
      <alignment wrapText="1"/>
    </xf>
    <xf numFmtId="0" fontId="4" fillId="0" borderId="3" xfId="0" applyFont="1" applyBorder="1" applyAlignment="1">
      <alignment/>
    </xf>
    <xf numFmtId="0" fontId="4" fillId="0" borderId="4" xfId="0" applyFont="1" applyBorder="1" applyAlignment="1">
      <alignment wrapText="1"/>
    </xf>
    <xf numFmtId="1" fontId="12" fillId="0" borderId="0" xfId="0" applyNumberFormat="1" applyFont="1" applyFill="1" applyAlignment="1">
      <alignment wrapText="1"/>
    </xf>
    <xf numFmtId="0" fontId="0" fillId="4" borderId="0" xfId="0" applyFill="1" applyAlignment="1">
      <alignment/>
    </xf>
    <xf numFmtId="178" fontId="1" fillId="0" borderId="0" xfId="0" applyNumberFormat="1" applyFont="1" applyAlignment="1">
      <alignment/>
    </xf>
    <xf numFmtId="0" fontId="0" fillId="2" borderId="0" xfId="0" applyFill="1" applyAlignment="1">
      <alignment/>
    </xf>
    <xf numFmtId="0" fontId="11" fillId="0" borderId="0" xfId="0" applyFont="1" applyAlignment="1">
      <alignment/>
    </xf>
    <xf numFmtId="177" fontId="1" fillId="0" borderId="0" xfId="0" applyNumberFormat="1" applyFont="1" applyAlignment="1">
      <alignment/>
    </xf>
    <xf numFmtId="0" fontId="0" fillId="0" borderId="0" xfId="0" applyFill="1" applyAlignment="1">
      <alignment/>
    </xf>
    <xf numFmtId="0" fontId="16" fillId="2" borderId="0" xfId="0" applyFont="1" applyFill="1" applyAlignment="1">
      <alignment/>
    </xf>
    <xf numFmtId="0" fontId="3" fillId="0" borderId="2"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0" fillId="0" borderId="5" xfId="0" applyBorder="1" applyAlignment="1">
      <alignment wrapText="1"/>
    </xf>
    <xf numFmtId="0" fontId="15" fillId="0" borderId="0" xfId="0" applyFont="1" applyAlignment="1">
      <alignment/>
    </xf>
    <xf numFmtId="0" fontId="0" fillId="0" borderId="0" xfId="0" applyAlignment="1">
      <alignment/>
    </xf>
    <xf numFmtId="0" fontId="0" fillId="0" borderId="0" xfId="0" applyFont="1" applyFill="1" applyAlignment="1">
      <alignment/>
    </xf>
    <xf numFmtId="0" fontId="0" fillId="0" borderId="7" xfId="0" applyFont="1" applyBorder="1" applyAlignment="1">
      <alignment/>
    </xf>
    <xf numFmtId="0" fontId="0" fillId="0" borderId="7" xfId="0" applyBorder="1" applyAlignment="1">
      <alignment/>
    </xf>
    <xf numFmtId="0" fontId="0" fillId="0" borderId="0" xfId="0" applyFont="1" applyAlignment="1">
      <alignment/>
    </xf>
    <xf numFmtId="1" fontId="1" fillId="0" borderId="0" xfId="0" applyNumberFormat="1" applyFont="1" applyAlignment="1">
      <alignment/>
    </xf>
    <xf numFmtId="0" fontId="0" fillId="0" borderId="0" xfId="0" applyFont="1" applyAlignment="1">
      <alignment wrapText="1"/>
    </xf>
    <xf numFmtId="0" fontId="0"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60"/>
  <sheetViews>
    <sheetView showGridLines="0" tabSelected="1" workbookViewId="0" topLeftCell="A1">
      <pane xSplit="1" ySplit="6" topLeftCell="B7" activePane="bottomRight" state="frozen"/>
      <selection pane="topLeft" activeCell="A1" sqref="A1"/>
      <selection pane="topRight" activeCell="B1" sqref="B1"/>
      <selection pane="bottomLeft" activeCell="A6" sqref="A6"/>
      <selection pane="bottomRight" activeCell="B7" sqref="B7"/>
    </sheetView>
  </sheetViews>
  <sheetFormatPr defaultColWidth="9.140625" defaultRowHeight="12.75"/>
  <cols>
    <col min="1" max="1" width="14.28125" style="11" customWidth="1"/>
    <col min="2" max="2" width="11.140625" style="11" customWidth="1"/>
    <col min="3" max="3" width="10.57421875" style="11" customWidth="1"/>
    <col min="4" max="4" width="2.57421875" style="11" customWidth="1"/>
    <col min="5" max="5" width="12.140625" style="12" customWidth="1"/>
    <col min="6" max="6" width="9.140625" style="11" customWidth="1"/>
    <col min="7" max="7" width="3.140625" style="14" customWidth="1"/>
    <col min="8" max="8" width="227.421875" style="14" bestFit="1" customWidth="1"/>
    <col min="9" max="19" width="9.140625" style="14" customWidth="1"/>
    <col min="20" max="16384" width="9.140625" style="11" customWidth="1"/>
  </cols>
  <sheetData>
    <row r="1" spans="1:8" ht="28.5" customHeight="1">
      <c r="A1" s="78" t="s">
        <v>199</v>
      </c>
      <c r="B1" s="79"/>
      <c r="C1" s="79"/>
      <c r="D1" s="79"/>
      <c r="E1" s="79"/>
      <c r="F1" s="79"/>
      <c r="G1" s="79"/>
      <c r="H1" s="79"/>
    </row>
    <row r="2" s="79" customFormat="1" ht="18.75" customHeight="1">
      <c r="A2" s="80" t="s">
        <v>200</v>
      </c>
    </row>
    <row r="3" spans="1:19" s="79" customFormat="1" ht="12.75">
      <c r="A3" s="81" t="s">
        <v>201</v>
      </c>
      <c r="B3" s="82"/>
      <c r="C3" s="82"/>
      <c r="D3" s="82"/>
      <c r="E3" s="82"/>
      <c r="F3" s="82"/>
      <c r="G3" s="82"/>
      <c r="H3" s="82"/>
      <c r="I3" s="82"/>
      <c r="J3" s="82"/>
      <c r="K3" s="82"/>
      <c r="L3" s="82"/>
      <c r="M3" s="82"/>
      <c r="N3" s="82"/>
      <c r="O3" s="82"/>
      <c r="P3" s="82"/>
      <c r="Q3" s="82"/>
      <c r="R3" s="82"/>
      <c r="S3" s="82"/>
    </row>
    <row r="4" spans="1:7" s="62" customFormat="1" ht="14.25" customHeight="1">
      <c r="A4" s="62" t="s">
        <v>202</v>
      </c>
      <c r="B4" s="74" t="s">
        <v>40</v>
      </c>
      <c r="C4" s="75"/>
      <c r="E4" s="76" t="s">
        <v>23</v>
      </c>
      <c r="F4" s="77"/>
      <c r="G4" s="63"/>
    </row>
    <row r="5" spans="2:19" s="13" customFormat="1" ht="12.75">
      <c r="B5" s="13" t="s">
        <v>1</v>
      </c>
      <c r="C5" s="64" t="s">
        <v>2</v>
      </c>
      <c r="E5" s="65" t="s">
        <v>1</v>
      </c>
      <c r="F5" s="64" t="s">
        <v>2</v>
      </c>
      <c r="G5" s="39"/>
      <c r="H5" s="34" t="s">
        <v>8</v>
      </c>
      <c r="I5" s="39"/>
      <c r="J5" s="39"/>
      <c r="K5" s="39"/>
      <c r="L5" s="39"/>
      <c r="M5" s="39"/>
      <c r="N5" s="39"/>
      <c r="O5" s="39"/>
      <c r="P5" s="39"/>
      <c r="Q5" s="39"/>
      <c r="R5" s="39"/>
      <c r="S5" s="39"/>
    </row>
    <row r="6" spans="1:19" s="30" customFormat="1" ht="12.75">
      <c r="A6" s="27" t="s">
        <v>11</v>
      </c>
      <c r="B6" s="28"/>
      <c r="C6" s="28"/>
      <c r="D6" s="28"/>
      <c r="E6" s="29"/>
      <c r="F6" s="28"/>
      <c r="G6" s="28"/>
      <c r="H6" s="40" t="s">
        <v>161</v>
      </c>
      <c r="I6" s="28"/>
      <c r="J6" s="28"/>
      <c r="K6" s="28"/>
      <c r="L6" s="28"/>
      <c r="M6" s="28"/>
      <c r="N6" s="28"/>
      <c r="O6" s="28"/>
      <c r="P6" s="28"/>
      <c r="Q6" s="28"/>
      <c r="R6" s="28"/>
      <c r="S6" s="28"/>
    </row>
    <row r="7" spans="1:8" ht="12.75">
      <c r="A7" s="46" t="s">
        <v>3</v>
      </c>
      <c r="B7" s="47">
        <v>806</v>
      </c>
      <c r="C7" s="47">
        <v>613</v>
      </c>
      <c r="D7" s="47"/>
      <c r="E7" s="48">
        <v>806</v>
      </c>
      <c r="F7" s="47">
        <v>613</v>
      </c>
      <c r="H7" s="14" t="s">
        <v>174</v>
      </c>
    </row>
    <row r="8" spans="1:8" ht="12.75">
      <c r="A8" s="46" t="s">
        <v>4</v>
      </c>
      <c r="B8" s="47">
        <v>16</v>
      </c>
      <c r="C8" s="47">
        <v>16</v>
      </c>
      <c r="D8" s="47"/>
      <c r="E8" s="48">
        <v>16</v>
      </c>
      <c r="F8" s="47">
        <v>16</v>
      </c>
      <c r="H8" s="14" t="s">
        <v>173</v>
      </c>
    </row>
    <row r="9" spans="1:8" ht="12.75">
      <c r="A9" s="46" t="s">
        <v>162</v>
      </c>
      <c r="B9" s="47">
        <v>38</v>
      </c>
      <c r="C9" s="47">
        <v>44</v>
      </c>
      <c r="D9" s="47"/>
      <c r="E9" s="48">
        <v>38</v>
      </c>
      <c r="F9" s="47">
        <v>44</v>
      </c>
      <c r="H9" s="41" t="s">
        <v>170</v>
      </c>
    </row>
    <row r="10" spans="1:8" ht="12.75">
      <c r="A10" s="46" t="s">
        <v>163</v>
      </c>
      <c r="B10" s="47">
        <v>38</v>
      </c>
      <c r="C10" s="47">
        <v>44</v>
      </c>
      <c r="D10" s="47"/>
      <c r="E10" s="48">
        <v>38</v>
      </c>
      <c r="F10" s="47">
        <v>44</v>
      </c>
      <c r="H10" s="42" t="s">
        <v>171</v>
      </c>
    </row>
    <row r="11" spans="1:8" ht="12.75">
      <c r="A11" s="46" t="s">
        <v>164</v>
      </c>
      <c r="B11" s="47">
        <v>5</v>
      </c>
      <c r="C11" s="47">
        <v>2</v>
      </c>
      <c r="D11" s="47"/>
      <c r="E11" s="48">
        <v>5</v>
      </c>
      <c r="F11" s="47">
        <v>2</v>
      </c>
      <c r="H11" s="14" t="s">
        <v>172</v>
      </c>
    </row>
    <row r="12" spans="1:8" ht="12.75">
      <c r="A12" s="46" t="s">
        <v>38</v>
      </c>
      <c r="B12" s="49">
        <v>50</v>
      </c>
      <c r="C12" s="49">
        <v>50</v>
      </c>
      <c r="D12" s="49"/>
      <c r="E12" s="50"/>
      <c r="F12" s="51"/>
      <c r="H12" s="14" t="s">
        <v>16</v>
      </c>
    </row>
    <row r="13" spans="1:8" ht="12.75">
      <c r="A13" s="46" t="s">
        <v>5</v>
      </c>
      <c r="B13" s="49">
        <v>250</v>
      </c>
      <c r="C13" s="49">
        <v>250</v>
      </c>
      <c r="D13" s="49"/>
      <c r="E13" s="52">
        <v>250</v>
      </c>
      <c r="F13" s="49">
        <v>250</v>
      </c>
      <c r="G13" s="23"/>
      <c r="H13" s="14" t="s">
        <v>175</v>
      </c>
    </row>
    <row r="14" spans="1:8" ht="12.75">
      <c r="A14" s="46" t="s">
        <v>24</v>
      </c>
      <c r="B14" s="51"/>
      <c r="C14" s="51"/>
      <c r="D14" s="51"/>
      <c r="E14" s="52">
        <v>1.1</v>
      </c>
      <c r="F14" s="49">
        <v>1.1</v>
      </c>
      <c r="G14" s="23"/>
      <c r="H14" s="14" t="s">
        <v>195</v>
      </c>
    </row>
    <row r="15" spans="2:6" ht="12.75">
      <c r="B15" s="14"/>
      <c r="C15" s="14"/>
      <c r="D15" s="14"/>
      <c r="E15" s="15"/>
      <c r="F15" s="14"/>
    </row>
    <row r="16" spans="1:19" s="30" customFormat="1" ht="12.75">
      <c r="A16" s="27" t="s">
        <v>10</v>
      </c>
      <c r="B16" s="28"/>
      <c r="C16" s="28"/>
      <c r="D16" s="28"/>
      <c r="E16" s="29"/>
      <c r="F16" s="28"/>
      <c r="G16" s="28"/>
      <c r="H16" s="40" t="s">
        <v>21</v>
      </c>
      <c r="I16" s="28"/>
      <c r="J16" s="28"/>
      <c r="K16" s="28"/>
      <c r="L16" s="28"/>
      <c r="M16" s="28"/>
      <c r="N16" s="28"/>
      <c r="O16" s="28"/>
      <c r="P16" s="28"/>
      <c r="Q16" s="28"/>
      <c r="R16" s="28"/>
      <c r="S16" s="28"/>
    </row>
    <row r="17" spans="1:19" s="8" customFormat="1" ht="12.75">
      <c r="A17" s="53" t="s">
        <v>33</v>
      </c>
      <c r="B17" s="53">
        <f>B7/((B12/100)*B8)</f>
        <v>100.75</v>
      </c>
      <c r="C17" s="53">
        <f>C7/((C12/100)*C8)</f>
        <v>76.625</v>
      </c>
      <c r="D17" s="53"/>
      <c r="E17" s="53">
        <f>(E7*(2*PI()*E14)^2)/386.088</f>
        <v>99.72265792468463</v>
      </c>
      <c r="F17" s="53">
        <f>(F7*(2*PI()*F14)^2)/386.088</f>
        <v>75.84365919085816</v>
      </c>
      <c r="G17" s="16"/>
      <c r="H17" s="16" t="s">
        <v>176</v>
      </c>
      <c r="I17" s="16"/>
      <c r="J17" s="16"/>
      <c r="K17" s="16"/>
      <c r="L17" s="16"/>
      <c r="M17" s="16"/>
      <c r="N17" s="16"/>
      <c r="O17" s="16"/>
      <c r="P17" s="16"/>
      <c r="Q17" s="16"/>
      <c r="R17" s="16"/>
      <c r="S17" s="16"/>
    </row>
    <row r="18" spans="1:8" ht="12.75">
      <c r="A18" s="46" t="s">
        <v>133</v>
      </c>
      <c r="B18" s="46">
        <f>(B9/B10)</f>
        <v>1</v>
      </c>
      <c r="C18" s="46">
        <f>(C9/C10)</f>
        <v>1</v>
      </c>
      <c r="D18" s="46"/>
      <c r="E18" s="46">
        <f>(E9/E10)</f>
        <v>1</v>
      </c>
      <c r="F18" s="46">
        <f>(F9/F10)</f>
        <v>1</v>
      </c>
      <c r="H18" s="14" t="s">
        <v>177</v>
      </c>
    </row>
    <row r="19" spans="1:19" s="17" customFormat="1" ht="12.75">
      <c r="A19" s="54" t="s">
        <v>0</v>
      </c>
      <c r="B19" s="54">
        <f>COS(RADIANS(B11))</f>
        <v>0.9961946980917455</v>
      </c>
      <c r="C19" s="54">
        <f>COS(RADIANS(C11))</f>
        <v>0.9993908270190958</v>
      </c>
      <c r="D19" s="54"/>
      <c r="E19" s="54">
        <f>COS(RADIANS(E11))</f>
        <v>0.9961946980917455</v>
      </c>
      <c r="F19" s="54">
        <f>COS(RADIANS(F11))</f>
        <v>0.9993908270190958</v>
      </c>
      <c r="G19" s="18"/>
      <c r="H19" s="18" t="s">
        <v>178</v>
      </c>
      <c r="I19" s="18"/>
      <c r="J19" s="18"/>
      <c r="K19" s="18"/>
      <c r="L19" s="18"/>
      <c r="M19" s="18"/>
      <c r="N19" s="18"/>
      <c r="O19" s="18"/>
      <c r="P19" s="18"/>
      <c r="Q19" s="18"/>
      <c r="R19" s="18"/>
      <c r="S19" s="18"/>
    </row>
    <row r="20" spans="1:19" s="17" customFormat="1" ht="12.75">
      <c r="A20" s="54" t="s">
        <v>12</v>
      </c>
      <c r="B20" s="54">
        <f>(B18*B19)</f>
        <v>0.9961946980917455</v>
      </c>
      <c r="C20" s="54">
        <f>(C18*C19)</f>
        <v>0.9993908270190958</v>
      </c>
      <c r="D20" s="54"/>
      <c r="E20" s="54">
        <f>(E18*E19)</f>
        <v>0.9961946980917455</v>
      </c>
      <c r="F20" s="54">
        <f>(F18*F19)</f>
        <v>0.9993908270190958</v>
      </c>
      <c r="G20" s="18"/>
      <c r="H20" s="18" t="s">
        <v>179</v>
      </c>
      <c r="I20" s="18"/>
      <c r="J20" s="18"/>
      <c r="K20" s="18"/>
      <c r="L20" s="18"/>
      <c r="M20" s="18"/>
      <c r="N20" s="18"/>
      <c r="O20" s="18"/>
      <c r="P20" s="18"/>
      <c r="Q20" s="18"/>
      <c r="R20" s="18"/>
      <c r="S20" s="18"/>
    </row>
    <row r="21" spans="1:19" s="25" customFormat="1" ht="12.75">
      <c r="A21" s="55" t="s">
        <v>165</v>
      </c>
      <c r="B21" s="55">
        <f>SQRT((386.088*B17)/B7)/(2*(PI()))</f>
        <v>1.1056515775508649</v>
      </c>
      <c r="C21" s="55">
        <f>SQRT((386.088*C17)/C7)/(2*(PI()))</f>
        <v>1.1056515775508649</v>
      </c>
      <c r="D21" s="55"/>
      <c r="E21" s="55">
        <f>SQRT((386.088*E17)/E7)/(2*(PI()))</f>
        <v>1.1000000000000003</v>
      </c>
      <c r="F21" s="55">
        <f>SQRT((386.088*F17)/F7)/(2*(PI()))</f>
        <v>1.1000000000000003</v>
      </c>
      <c r="G21" s="26"/>
      <c r="H21" s="26" t="s">
        <v>180</v>
      </c>
      <c r="I21" s="26"/>
      <c r="J21" s="26"/>
      <c r="K21" s="26"/>
      <c r="L21" s="26"/>
      <c r="M21" s="26"/>
      <c r="N21" s="26"/>
      <c r="O21" s="26"/>
      <c r="P21" s="26"/>
      <c r="Q21" s="26"/>
      <c r="R21" s="26"/>
      <c r="S21" s="26"/>
    </row>
    <row r="22" spans="1:19" s="20" customFormat="1" ht="12.75">
      <c r="A22" s="56" t="s">
        <v>13</v>
      </c>
      <c r="B22" s="56">
        <f>B7/B25</f>
        <v>7.9392310120488325</v>
      </c>
      <c r="C22" s="56">
        <f>C7/C25</f>
        <v>7.990256201039297</v>
      </c>
      <c r="D22" s="56"/>
      <c r="E22" s="56">
        <f>E7/E25</f>
        <v>8.021020910493842</v>
      </c>
      <c r="F22" s="56">
        <f>F7/F25</f>
        <v>8.072571760599262</v>
      </c>
      <c r="G22" s="21"/>
      <c r="H22" s="21" t="s">
        <v>207</v>
      </c>
      <c r="I22" s="21"/>
      <c r="J22" s="21"/>
      <c r="K22" s="21"/>
      <c r="L22" s="21"/>
      <c r="M22" s="21"/>
      <c r="N22" s="21"/>
      <c r="O22" s="21"/>
      <c r="P22" s="21"/>
      <c r="Q22" s="21"/>
      <c r="R22" s="21"/>
      <c r="S22" s="21"/>
    </row>
    <row r="23" spans="1:19" s="20" customFormat="1" ht="12.75">
      <c r="A23" s="56" t="s">
        <v>14</v>
      </c>
      <c r="B23" s="56">
        <f>B8-B22</f>
        <v>8.060768987951167</v>
      </c>
      <c r="C23" s="56">
        <f>C8-C22</f>
        <v>8.009743798960702</v>
      </c>
      <c r="D23" s="56"/>
      <c r="E23" s="56">
        <f>E8-E22</f>
        <v>7.978979089506158</v>
      </c>
      <c r="F23" s="56">
        <f>F8-F22</f>
        <v>7.927428239400738</v>
      </c>
      <c r="G23" s="21"/>
      <c r="H23" s="21" t="s">
        <v>208</v>
      </c>
      <c r="I23" s="21"/>
      <c r="J23" s="21"/>
      <c r="K23" s="21"/>
      <c r="L23" s="21"/>
      <c r="M23" s="21"/>
      <c r="N23" s="21"/>
      <c r="O23" s="21"/>
      <c r="P23" s="21"/>
      <c r="Q23" s="21"/>
      <c r="R23" s="21"/>
      <c r="S23" s="21"/>
    </row>
    <row r="24" spans="1:19" s="8" customFormat="1" ht="12.75">
      <c r="A24" s="53" t="s">
        <v>39</v>
      </c>
      <c r="B24" s="53">
        <f>(B22/B8)*100</f>
        <v>49.6201938253052</v>
      </c>
      <c r="C24" s="53">
        <f>(C22/C8)*100</f>
        <v>49.939101256495604</v>
      </c>
      <c r="D24" s="53"/>
      <c r="E24" s="53">
        <f>(E22/E8)*100</f>
        <v>50.13138069058651</v>
      </c>
      <c r="F24" s="53">
        <f>(F22/F8)*100</f>
        <v>50.45357350374539</v>
      </c>
      <c r="G24" s="16"/>
      <c r="H24" s="21" t="s">
        <v>209</v>
      </c>
      <c r="I24" s="16"/>
      <c r="J24" s="16"/>
      <c r="K24" s="16"/>
      <c r="L24" s="16"/>
      <c r="M24" s="16"/>
      <c r="N24" s="16"/>
      <c r="O24" s="16"/>
      <c r="P24" s="16"/>
      <c r="Q24" s="16"/>
      <c r="R24" s="16"/>
      <c r="S24" s="16"/>
    </row>
    <row r="25" spans="1:19" s="8" customFormat="1" ht="12.75">
      <c r="A25" s="53" t="s">
        <v>25</v>
      </c>
      <c r="B25" s="53">
        <f>B17/(B20)^2</f>
        <v>101.5211673242394</v>
      </c>
      <c r="C25" s="53">
        <f>C17/(C20)^2</f>
        <v>76.71844113337276</v>
      </c>
      <c r="D25" s="53"/>
      <c r="E25" s="53">
        <f>E17/(E20)^2</f>
        <v>100.4859616991543</v>
      </c>
      <c r="F25" s="53">
        <f>F17/(F20)^2</f>
        <v>75.93614751025693</v>
      </c>
      <c r="G25" s="16"/>
      <c r="H25" s="16" t="s">
        <v>183</v>
      </c>
      <c r="I25" s="16"/>
      <c r="J25" s="16"/>
      <c r="K25" s="16"/>
      <c r="L25" s="16"/>
      <c r="M25" s="16"/>
      <c r="N25" s="16"/>
      <c r="O25" s="16"/>
      <c r="P25" s="16"/>
      <c r="Q25" s="16"/>
      <c r="R25" s="16"/>
      <c r="S25" s="16"/>
    </row>
    <row r="26" spans="1:19" s="1" customFormat="1" ht="12.75">
      <c r="A26" s="53" t="s">
        <v>26</v>
      </c>
      <c r="B26" s="57">
        <f>B27*B25/(B27-B25)</f>
        <v>169.201945540399</v>
      </c>
      <c r="C26" s="57">
        <f>C27*C25/(C27-C25)</f>
        <v>127.86406855562126</v>
      </c>
      <c r="D26" s="57"/>
      <c r="E26" s="57">
        <f>E27*E25/(E27-E25)</f>
        <v>167.47660283192383</v>
      </c>
      <c r="F26" s="57">
        <f>F27*F25/(F27-F25)</f>
        <v>126.5602458504282</v>
      </c>
      <c r="G26" s="16"/>
      <c r="H26" s="16" t="s">
        <v>184</v>
      </c>
      <c r="I26" s="10"/>
      <c r="J26" s="10"/>
      <c r="K26" s="10"/>
      <c r="L26" s="10"/>
      <c r="M26" s="10"/>
      <c r="N26" s="10"/>
      <c r="O26" s="10"/>
      <c r="P26" s="10"/>
      <c r="Q26" s="10"/>
      <c r="R26" s="10"/>
      <c r="S26" s="10"/>
    </row>
    <row r="27" spans="1:19" s="1" customFormat="1" ht="12.75">
      <c r="A27" s="53" t="s">
        <v>27</v>
      </c>
      <c r="B27" s="57">
        <f>B25*(B13/100)</f>
        <v>253.8029183105985</v>
      </c>
      <c r="C27" s="57">
        <f>C25*(C13/100)</f>
        <v>191.79610283343192</v>
      </c>
      <c r="D27" s="57"/>
      <c r="E27" s="57">
        <f>E25*(E13/100)</f>
        <v>251.21490424788576</v>
      </c>
      <c r="F27" s="57">
        <f>F25*(F13/100)</f>
        <v>189.84036877564233</v>
      </c>
      <c r="G27" s="16"/>
      <c r="H27" s="16" t="s">
        <v>185</v>
      </c>
      <c r="I27" s="10"/>
      <c r="J27" s="10"/>
      <c r="K27" s="10"/>
      <c r="L27" s="10"/>
      <c r="M27" s="10"/>
      <c r="N27" s="10"/>
      <c r="O27" s="10"/>
      <c r="P27" s="10"/>
      <c r="Q27" s="10"/>
      <c r="R27" s="10"/>
      <c r="S27" s="10"/>
    </row>
    <row r="28" spans="1:8" ht="12.75">
      <c r="A28" s="46" t="s">
        <v>5</v>
      </c>
      <c r="B28" s="46">
        <f>100*(B27/B25)</f>
        <v>250</v>
      </c>
      <c r="C28" s="46">
        <f>100*(C27/C25)</f>
        <v>250</v>
      </c>
      <c r="D28" s="46"/>
      <c r="E28" s="46">
        <f>100*(E27/E25)</f>
        <v>250</v>
      </c>
      <c r="F28" s="46">
        <f>100*(F27/F25)</f>
        <v>250</v>
      </c>
      <c r="H28" s="14" t="s">
        <v>186</v>
      </c>
    </row>
    <row r="29" spans="1:8" ht="12.75">
      <c r="A29" s="53" t="s">
        <v>167</v>
      </c>
      <c r="B29" s="53">
        <f>B27*(B20^2)</f>
        <v>251.875</v>
      </c>
      <c r="C29" s="53">
        <f>C27*(C20^2)</f>
        <v>191.56250000000003</v>
      </c>
      <c r="D29" s="53"/>
      <c r="E29" s="53">
        <f>E27*(E20^2)</f>
        <v>249.30664481171158</v>
      </c>
      <c r="F29" s="53">
        <f>F27*(F20^2)</f>
        <v>189.6091479771454</v>
      </c>
      <c r="H29" s="16" t="s">
        <v>187</v>
      </c>
    </row>
    <row r="30" spans="1:8" ht="12.75">
      <c r="A30" s="53" t="s">
        <v>166</v>
      </c>
      <c r="B30" s="55">
        <f>SQRT((386.088*B29)/B7)/(2*(PI()))</f>
        <v>1.7481886418095132</v>
      </c>
      <c r="C30" s="55">
        <f>SQRT((386.088*C29)/C7)/(2*(PI()))</f>
        <v>1.7481886418095132</v>
      </c>
      <c r="D30" s="55"/>
      <c r="E30" s="55">
        <f>SQRT((386.088*E29)/E7)/(2*(PI()))</f>
        <v>1.739252713092609</v>
      </c>
      <c r="F30" s="55">
        <f>SQRT((386.088*F29)/F7)/(2*(PI()))</f>
        <v>1.739252713092609</v>
      </c>
      <c r="H30" s="26" t="s">
        <v>181</v>
      </c>
    </row>
    <row r="31" spans="2:6" ht="12.75">
      <c r="B31" s="14"/>
      <c r="C31" s="14"/>
      <c r="D31" s="14"/>
      <c r="E31" s="14"/>
      <c r="F31" s="14"/>
    </row>
    <row r="32" spans="1:19" s="30" customFormat="1" ht="12.75">
      <c r="A32" s="31" t="s">
        <v>15</v>
      </c>
      <c r="B32" s="28"/>
      <c r="C32" s="28"/>
      <c r="D32" s="28"/>
      <c r="E32" s="28"/>
      <c r="F32" s="28"/>
      <c r="G32" s="28"/>
      <c r="H32" s="43" t="s">
        <v>17</v>
      </c>
      <c r="I32" s="28"/>
      <c r="J32" s="28"/>
      <c r="K32" s="28"/>
      <c r="L32" s="28"/>
      <c r="M32" s="28"/>
      <c r="N32" s="28"/>
      <c r="O32" s="28"/>
      <c r="P32" s="28"/>
      <c r="Q32" s="28"/>
      <c r="R32" s="28"/>
      <c r="S32" s="28"/>
    </row>
    <row r="33" spans="1:8" ht="12.75">
      <c r="A33" s="53" t="s">
        <v>28</v>
      </c>
      <c r="B33" s="58">
        <v>175</v>
      </c>
      <c r="C33" s="59">
        <v>120</v>
      </c>
      <c r="D33" s="59"/>
      <c r="E33" s="59">
        <v>165</v>
      </c>
      <c r="F33" s="59">
        <v>125</v>
      </c>
      <c r="G33" s="24"/>
      <c r="H33" s="14" t="s">
        <v>188</v>
      </c>
    </row>
    <row r="34" spans="1:8" ht="12.75">
      <c r="A34" s="53" t="s">
        <v>29</v>
      </c>
      <c r="B34" s="58">
        <v>250</v>
      </c>
      <c r="C34" s="59">
        <v>175</v>
      </c>
      <c r="D34" s="59"/>
      <c r="E34" s="59">
        <v>250</v>
      </c>
      <c r="F34" s="59">
        <v>185</v>
      </c>
      <c r="G34" s="24"/>
      <c r="H34" s="14" t="s">
        <v>189</v>
      </c>
    </row>
    <row r="35" spans="2:6" ht="12.75">
      <c r="B35" s="14"/>
      <c r="C35" s="14"/>
      <c r="D35" s="14"/>
      <c r="E35" s="14"/>
      <c r="F35" s="14"/>
    </row>
    <row r="36" spans="1:19" s="30" customFormat="1" ht="12.75">
      <c r="A36" s="31" t="s">
        <v>9</v>
      </c>
      <c r="B36" s="28"/>
      <c r="C36" s="28"/>
      <c r="D36" s="28"/>
      <c r="E36" s="28"/>
      <c r="F36" s="28"/>
      <c r="G36" s="28"/>
      <c r="H36" s="40" t="s">
        <v>22</v>
      </c>
      <c r="I36" s="28"/>
      <c r="J36" s="28"/>
      <c r="K36" s="28"/>
      <c r="L36" s="28"/>
      <c r="M36" s="28"/>
      <c r="N36" s="28"/>
      <c r="O36" s="28"/>
      <c r="P36" s="28"/>
      <c r="Q36" s="28"/>
      <c r="R36" s="28"/>
      <c r="S36" s="28"/>
    </row>
    <row r="37" spans="1:19" s="8" customFormat="1" ht="12.75">
      <c r="A37" s="53" t="s">
        <v>30</v>
      </c>
      <c r="B37" s="53">
        <f>(B33*B34)/(B33+B34)</f>
        <v>102.94117647058823</v>
      </c>
      <c r="C37" s="53">
        <f>(C33*C34)/(C33+C34)</f>
        <v>71.1864406779661</v>
      </c>
      <c r="D37" s="53"/>
      <c r="E37" s="53">
        <f>(E33*E34)/(E33+E34)</f>
        <v>99.39759036144578</v>
      </c>
      <c r="F37" s="53">
        <f>(F33*F34)/(F33+F34)</f>
        <v>74.59677419354838</v>
      </c>
      <c r="G37" s="16"/>
      <c r="H37" s="16" t="s">
        <v>41</v>
      </c>
      <c r="I37" s="16"/>
      <c r="J37" s="16"/>
      <c r="K37" s="16"/>
      <c r="L37" s="16"/>
      <c r="M37" s="16"/>
      <c r="N37" s="16"/>
      <c r="O37" s="16"/>
      <c r="P37" s="16"/>
      <c r="Q37" s="16"/>
      <c r="R37" s="16"/>
      <c r="S37" s="16"/>
    </row>
    <row r="38" spans="1:19" s="8" customFormat="1" ht="12.75">
      <c r="A38" s="53" t="s">
        <v>31</v>
      </c>
      <c r="B38" s="53">
        <f>B37*(B20)^2</f>
        <v>102.1592225815107</v>
      </c>
      <c r="C38" s="53">
        <f>C37*(C20)^2</f>
        <v>71.09973738212935</v>
      </c>
      <c r="D38" s="53"/>
      <c r="E38" s="53">
        <f>E37*(E20)^2</f>
        <v>98.64255399006456</v>
      </c>
      <c r="F38" s="53">
        <f>F37*(F20)^2</f>
        <v>74.50591719719102</v>
      </c>
      <c r="G38" s="16"/>
      <c r="H38" s="16" t="s">
        <v>182</v>
      </c>
      <c r="I38" s="16"/>
      <c r="J38" s="16"/>
      <c r="K38" s="16"/>
      <c r="L38" s="16"/>
      <c r="M38" s="16"/>
      <c r="N38" s="16"/>
      <c r="O38" s="16"/>
      <c r="P38" s="16"/>
      <c r="Q38" s="16"/>
      <c r="R38" s="16"/>
      <c r="S38" s="16"/>
    </row>
    <row r="39" spans="1:19" s="8" customFormat="1" ht="12.75">
      <c r="A39" s="53" t="s">
        <v>32</v>
      </c>
      <c r="B39" s="53">
        <f>B34*(B20)^2</f>
        <v>248.10096912652602</v>
      </c>
      <c r="C39" s="53">
        <f>C34*(C20)^2</f>
        <v>174.78685439773463</v>
      </c>
      <c r="D39" s="53"/>
      <c r="E39" s="53">
        <f>E34*(E20)^2</f>
        <v>248.10096912652602</v>
      </c>
      <c r="F39" s="53">
        <f>F34*(F20)^2</f>
        <v>184.77467464903376</v>
      </c>
      <c r="G39" s="16"/>
      <c r="H39" s="16" t="s">
        <v>190</v>
      </c>
      <c r="I39" s="16"/>
      <c r="J39" s="16"/>
      <c r="K39" s="16"/>
      <c r="L39" s="16"/>
      <c r="M39" s="16"/>
      <c r="N39" s="16"/>
      <c r="O39" s="16"/>
      <c r="P39" s="16"/>
      <c r="Q39" s="16"/>
      <c r="R39" s="16"/>
      <c r="S39" s="16"/>
    </row>
    <row r="40" spans="1:19" s="8" customFormat="1" ht="12.75">
      <c r="A40" s="53" t="s">
        <v>5</v>
      </c>
      <c r="B40" s="53">
        <f>B39/B38*100</f>
        <v>242.8571428571429</v>
      </c>
      <c r="C40" s="53">
        <f>C39/C38*100</f>
        <v>245.83333333333331</v>
      </c>
      <c r="D40" s="53"/>
      <c r="E40" s="53">
        <f>E39/E38*100</f>
        <v>251.5151515151515</v>
      </c>
      <c r="F40" s="53">
        <f>F39/F38*100</f>
        <v>248</v>
      </c>
      <c r="G40" s="16"/>
      <c r="H40" s="14" t="s">
        <v>203</v>
      </c>
      <c r="I40" s="16"/>
      <c r="J40" s="16"/>
      <c r="K40" s="16"/>
      <c r="L40" s="16"/>
      <c r="M40" s="16"/>
      <c r="N40" s="16"/>
      <c r="O40" s="16"/>
      <c r="P40" s="16"/>
      <c r="Q40" s="16"/>
      <c r="R40" s="16"/>
      <c r="S40" s="16"/>
    </row>
    <row r="41" spans="1:19" s="22" customFormat="1" ht="12.75">
      <c r="A41" s="60" t="s">
        <v>168</v>
      </c>
      <c r="B41" s="55">
        <f>SQRT((386.088*B38)/B7)/(2*(PI()))</f>
        <v>1.113357277311661</v>
      </c>
      <c r="C41" s="55">
        <f>SQRT((386.088*C38)/C7)/(2*(PI()))</f>
        <v>1.0650427599906214</v>
      </c>
      <c r="D41" s="55"/>
      <c r="E41" s="55">
        <f>SQRT((386.088*E38)/E7)/(2*(PI()))</f>
        <v>1.0940266884469971</v>
      </c>
      <c r="F41" s="55">
        <f>SQRT((386.088*F38)/F7)/(2*(PI()))</f>
        <v>1.0902558580472073</v>
      </c>
      <c r="G41" s="44"/>
      <c r="H41" s="44" t="s">
        <v>191</v>
      </c>
      <c r="I41" s="44"/>
      <c r="J41" s="44"/>
      <c r="K41" s="44"/>
      <c r="L41" s="44"/>
      <c r="M41" s="44"/>
      <c r="N41" s="44"/>
      <c r="O41" s="44"/>
      <c r="P41" s="44"/>
      <c r="Q41" s="44"/>
      <c r="R41" s="44"/>
      <c r="S41" s="44"/>
    </row>
    <row r="42" spans="1:19" s="22" customFormat="1" ht="12.75">
      <c r="A42" s="60" t="s">
        <v>169</v>
      </c>
      <c r="B42" s="55">
        <f>SQRT((386.088*B39)/B7)/(2*(PI()))</f>
        <v>1.7350420027039357</v>
      </c>
      <c r="C42" s="55">
        <f>SQRT((386.088*C39)/C7)/(2*(PI()))</f>
        <v>1.6698883290495052</v>
      </c>
      <c r="D42" s="55"/>
      <c r="E42" s="55">
        <f>SQRT((386.088*E39)/E7)/(2*(PI()))</f>
        <v>1.7350420027039357</v>
      </c>
      <c r="F42" s="55">
        <f>SQRT((386.088*F39)/F7)/(2*(PI()))</f>
        <v>1.716936642190243</v>
      </c>
      <c r="G42" s="44"/>
      <c r="H42" s="44" t="s">
        <v>192</v>
      </c>
      <c r="I42" s="44"/>
      <c r="J42" s="44"/>
      <c r="K42" s="44"/>
      <c r="L42" s="44"/>
      <c r="M42" s="44"/>
      <c r="N42" s="44"/>
      <c r="O42" s="44"/>
      <c r="P42" s="44"/>
      <c r="Q42" s="44"/>
      <c r="R42" s="44"/>
      <c r="S42" s="44"/>
    </row>
    <row r="43" spans="1:19" s="19" customFormat="1" ht="12.75">
      <c r="A43" s="61" t="s">
        <v>6</v>
      </c>
      <c r="B43" s="56">
        <f>B7/B38</f>
        <v>7.889645003483748</v>
      </c>
      <c r="C43" s="56">
        <f>C7/C38</f>
        <v>8.621691479750462</v>
      </c>
      <c r="D43" s="56"/>
      <c r="E43" s="56">
        <f>E7/E38</f>
        <v>8.170915770096359</v>
      </c>
      <c r="F43" s="56">
        <f>F7/F38</f>
        <v>8.227534443708734</v>
      </c>
      <c r="G43" s="45"/>
      <c r="H43" s="45" t="s">
        <v>206</v>
      </c>
      <c r="I43" s="45"/>
      <c r="J43" s="45"/>
      <c r="K43" s="45"/>
      <c r="L43" s="45"/>
      <c r="M43" s="45"/>
      <c r="N43" s="45"/>
      <c r="O43" s="45"/>
      <c r="P43" s="45"/>
      <c r="Q43" s="45"/>
      <c r="R43" s="45"/>
      <c r="S43" s="45"/>
    </row>
    <row r="44" spans="1:19" s="19" customFormat="1" ht="12.75">
      <c r="A44" s="61" t="s">
        <v>7</v>
      </c>
      <c r="B44" s="56">
        <f>B8-B43</f>
        <v>8.110354996516252</v>
      </c>
      <c r="C44" s="56">
        <f>C8-C43</f>
        <v>7.378308520249538</v>
      </c>
      <c r="D44" s="56"/>
      <c r="E44" s="56">
        <f>E8-E43</f>
        <v>7.829084229903641</v>
      </c>
      <c r="F44" s="56">
        <f>F8-F43</f>
        <v>7.772465556291266</v>
      </c>
      <c r="G44" s="45"/>
      <c r="H44" s="45" t="s">
        <v>205</v>
      </c>
      <c r="I44" s="45"/>
      <c r="J44" s="45"/>
      <c r="K44" s="45"/>
      <c r="L44" s="45"/>
      <c r="M44" s="45"/>
      <c r="N44" s="45"/>
      <c r="O44" s="45"/>
      <c r="P44" s="45"/>
      <c r="Q44" s="45"/>
      <c r="R44" s="45"/>
      <c r="S44" s="45"/>
    </row>
    <row r="45" spans="1:19" s="19" customFormat="1" ht="12.75">
      <c r="A45" s="61" t="s">
        <v>38</v>
      </c>
      <c r="B45" s="53">
        <f>B43/B8*100</f>
        <v>49.31028127177343</v>
      </c>
      <c r="C45" s="53">
        <f>C43/C8*100</f>
        <v>53.885571748440384</v>
      </c>
      <c r="D45" s="53"/>
      <c r="E45" s="53">
        <f>E43/E8*100</f>
        <v>51.068223563102244</v>
      </c>
      <c r="F45" s="53">
        <f>F43/F8*100</f>
        <v>51.42209027317959</v>
      </c>
      <c r="G45" s="45"/>
      <c r="H45" s="45" t="s">
        <v>204</v>
      </c>
      <c r="I45" s="45"/>
      <c r="J45" s="45"/>
      <c r="K45" s="45"/>
      <c r="L45" s="45"/>
      <c r="M45" s="45"/>
      <c r="N45" s="45"/>
      <c r="O45" s="45"/>
      <c r="P45" s="45"/>
      <c r="Q45" s="45"/>
      <c r="R45" s="45"/>
      <c r="S45" s="45"/>
    </row>
    <row r="46" ht="12.75">
      <c r="A46" s="8"/>
    </row>
    <row r="47" s="79" customFormat="1" ht="12.75">
      <c r="A47" s="84" t="s">
        <v>210</v>
      </c>
    </row>
    <row r="48" s="79" customFormat="1" ht="12.75">
      <c r="A48" s="83" t="s">
        <v>193</v>
      </c>
    </row>
    <row r="49" spans="1:19" s="83" customFormat="1" ht="12.75">
      <c r="A49" s="83" t="s">
        <v>194</v>
      </c>
      <c r="E49" s="85"/>
      <c r="G49" s="86"/>
      <c r="H49" s="86"/>
      <c r="I49" s="86"/>
      <c r="J49" s="86"/>
      <c r="K49" s="86"/>
      <c r="L49" s="86"/>
      <c r="M49" s="86"/>
      <c r="N49" s="86"/>
      <c r="O49" s="86"/>
      <c r="P49" s="86"/>
      <c r="Q49" s="86"/>
      <c r="R49" s="86"/>
      <c r="S49" s="86"/>
    </row>
    <row r="50" s="79" customFormat="1" ht="12.75">
      <c r="A50" s="83" t="s">
        <v>18</v>
      </c>
    </row>
    <row r="51" s="79" customFormat="1" ht="12.75">
      <c r="A51" s="83" t="s">
        <v>19</v>
      </c>
    </row>
    <row r="52" s="79" customFormat="1" ht="12.75">
      <c r="A52" s="83" t="s">
        <v>20</v>
      </c>
    </row>
    <row r="59" spans="1:2" ht="12.75">
      <c r="A59" s="23"/>
      <c r="B59" s="23"/>
    </row>
    <row r="60" spans="1:2" ht="12.75">
      <c r="A60" s="23"/>
      <c r="B60" s="23"/>
    </row>
  </sheetData>
  <mergeCells count="11">
    <mergeCell ref="A51:IV51"/>
    <mergeCell ref="A52:IV52"/>
    <mergeCell ref="A47:IV47"/>
    <mergeCell ref="A48:IV48"/>
    <mergeCell ref="A49:IV49"/>
    <mergeCell ref="A50:IV50"/>
    <mergeCell ref="B4:C4"/>
    <mergeCell ref="E4:F4"/>
    <mergeCell ref="A1:H1"/>
    <mergeCell ref="A2:IV2"/>
    <mergeCell ref="A3:IV3"/>
  </mergeCells>
  <printOptions/>
  <pageMargins left="0.75" right="0.75" top="1" bottom="1" header="0.5" footer="0.5"/>
  <pageSetup horizontalDpi="1200" verticalDpi="1200" orientation="portrait" r:id="rId3"/>
  <legacyDrawing r:id="rId2"/>
</worksheet>
</file>

<file path=xl/worksheets/sheet2.xml><?xml version="1.0" encoding="utf-8"?>
<worksheet xmlns="http://schemas.openxmlformats.org/spreadsheetml/2006/main" xmlns:r="http://schemas.openxmlformats.org/officeDocument/2006/relationships">
  <dimension ref="A1:H57"/>
  <sheetViews>
    <sheetView workbookViewId="0" topLeftCell="A1">
      <selection activeCell="B60" sqref="B60"/>
    </sheetView>
  </sheetViews>
  <sheetFormatPr defaultColWidth="9.140625" defaultRowHeight="12.75"/>
  <cols>
    <col min="1" max="1" width="43.140625" style="0" customWidth="1"/>
    <col min="2" max="2" width="12.140625" style="0" bestFit="1" customWidth="1"/>
    <col min="4" max="4" width="13.28125" style="0" bestFit="1" customWidth="1"/>
    <col min="6" max="6" width="12.00390625" style="0" bestFit="1" customWidth="1"/>
    <col min="8" max="8" width="12.00390625" style="0" bestFit="1" customWidth="1"/>
  </cols>
  <sheetData>
    <row r="1" spans="1:2" ht="12.75">
      <c r="A1" s="9" t="s">
        <v>55</v>
      </c>
      <c r="B1" t="s">
        <v>56</v>
      </c>
    </row>
    <row r="2" ht="12.75">
      <c r="B2" t="s">
        <v>64</v>
      </c>
    </row>
    <row r="3" spans="2:8" ht="12.75">
      <c r="B3" t="s">
        <v>51</v>
      </c>
      <c r="D3" t="s">
        <v>52</v>
      </c>
      <c r="F3" t="s">
        <v>53</v>
      </c>
      <c r="H3" t="s">
        <v>54</v>
      </c>
    </row>
    <row r="4" s="67" customFormat="1" ht="12.75">
      <c r="A4" s="67" t="s">
        <v>211</v>
      </c>
    </row>
    <row r="5" spans="1:8" ht="12.75">
      <c r="A5" t="s">
        <v>162</v>
      </c>
      <c r="B5" s="36">
        <v>38</v>
      </c>
      <c r="D5" s="36">
        <v>38</v>
      </c>
      <c r="F5" s="36">
        <v>44</v>
      </c>
      <c r="H5" s="36">
        <v>44</v>
      </c>
    </row>
    <row r="6" spans="1:8" ht="12.75">
      <c r="A6" t="s">
        <v>163</v>
      </c>
      <c r="B6" s="36">
        <v>38</v>
      </c>
      <c r="D6" s="36">
        <v>38</v>
      </c>
      <c r="F6" s="36">
        <v>44</v>
      </c>
      <c r="H6" s="36">
        <v>44</v>
      </c>
    </row>
    <row r="7" spans="1:8" ht="12.75">
      <c r="A7" t="s">
        <v>164</v>
      </c>
      <c r="B7" s="36">
        <v>5</v>
      </c>
      <c r="D7" s="36">
        <v>5</v>
      </c>
      <c r="F7" s="36">
        <v>2</v>
      </c>
      <c r="H7" s="36">
        <v>2</v>
      </c>
    </row>
    <row r="9" spans="1:8" ht="12.75">
      <c r="A9" t="s">
        <v>133</v>
      </c>
      <c r="B9" s="7">
        <f>B5/B6</f>
        <v>1</v>
      </c>
      <c r="D9" s="7">
        <f>D5/D6</f>
        <v>1</v>
      </c>
      <c r="F9" s="7">
        <f>F5/F6</f>
        <v>1</v>
      </c>
      <c r="H9" s="7">
        <f>H5/H6</f>
        <v>1</v>
      </c>
    </row>
    <row r="10" spans="1:8" ht="12.75">
      <c r="A10" t="s">
        <v>0</v>
      </c>
      <c r="B10" s="68">
        <f>COS(RADIANS(B7))</f>
        <v>0.9961946980917455</v>
      </c>
      <c r="D10" s="68">
        <f>COS(RADIANS(D7))</f>
        <v>0.9961946980917455</v>
      </c>
      <c r="F10" s="68">
        <f>COS(RADIANS(F7))</f>
        <v>0.9993908270190958</v>
      </c>
      <c r="H10" s="68">
        <f>COS(RADIANS(H7))</f>
        <v>0.9993908270190958</v>
      </c>
    </row>
    <row r="11" spans="1:8" ht="12.75">
      <c r="A11" t="s">
        <v>12</v>
      </c>
      <c r="B11" s="68">
        <f>B9*B10</f>
        <v>0.9961946980917455</v>
      </c>
      <c r="D11" s="68">
        <f>D9*D10</f>
        <v>0.9961946980917455</v>
      </c>
      <c r="F11" s="68">
        <f>F9*F10</f>
        <v>0.9993908270190958</v>
      </c>
      <c r="H11" s="68">
        <f>H9*H10</f>
        <v>0.9993908270190958</v>
      </c>
    </row>
    <row r="13" s="67" customFormat="1" ht="12.75">
      <c r="A13" s="67" t="s">
        <v>212</v>
      </c>
    </row>
    <row r="15" spans="1:8" ht="12.75">
      <c r="A15" t="s">
        <v>213</v>
      </c>
      <c r="B15" s="36">
        <v>0.64</v>
      </c>
      <c r="D15" s="36">
        <v>0</v>
      </c>
      <c r="F15" s="36">
        <v>0</v>
      </c>
      <c r="H15" s="36">
        <v>0</v>
      </c>
    </row>
    <row r="16" spans="1:8" ht="12.75">
      <c r="A16" t="s">
        <v>214</v>
      </c>
      <c r="B16" s="36">
        <v>2.5</v>
      </c>
      <c r="D16" s="36">
        <v>2.5</v>
      </c>
      <c r="F16" s="36">
        <v>2.5</v>
      </c>
      <c r="H16" s="36">
        <v>2.5</v>
      </c>
    </row>
    <row r="17" spans="1:8" ht="12.75">
      <c r="A17" t="s">
        <v>215</v>
      </c>
      <c r="B17" s="7">
        <f>B16+B15</f>
        <v>3.14</v>
      </c>
      <c r="D17" s="7">
        <f>D16+D15</f>
        <v>2.5</v>
      </c>
      <c r="F17" s="7">
        <f>F16+F15</f>
        <v>2.5</v>
      </c>
      <c r="H17" s="7">
        <f>H16+H15</f>
        <v>2.5</v>
      </c>
    </row>
    <row r="18" spans="1:8" ht="12.75">
      <c r="A18" t="s">
        <v>216</v>
      </c>
      <c r="B18" s="36">
        <v>14</v>
      </c>
      <c r="D18" s="36">
        <v>12</v>
      </c>
      <c r="F18" s="36">
        <v>12</v>
      </c>
      <c r="H18" s="36">
        <v>12</v>
      </c>
    </row>
    <row r="19" spans="1:8" ht="12.75">
      <c r="A19" t="s">
        <v>217</v>
      </c>
      <c r="B19" s="1">
        <f>(11250000*((B15)^4))/(8*B18*((B17)^3))</f>
        <v>544.333986938214</v>
      </c>
      <c r="D19" s="1">
        <f>(11250000*((D15)^4))/(8*D18*((D17)^3))</f>
        <v>0</v>
      </c>
      <c r="F19" s="1">
        <f>(11250000*((F15)^4))/(8*F18*((F17)^3))</f>
        <v>0</v>
      </c>
      <c r="H19" s="1">
        <f>(11250000*((H15)^4))/(8*H18*((H17)^3))</f>
        <v>0</v>
      </c>
    </row>
    <row r="20" ht="7.5" customHeight="1"/>
    <row r="21" s="67" customFormat="1" ht="12.75" customHeight="1">
      <c r="A21" s="67" t="s">
        <v>266</v>
      </c>
    </row>
    <row r="22" ht="12.75" customHeight="1"/>
    <row r="23" spans="1:8" ht="12.75" customHeight="1">
      <c r="A23" t="s">
        <v>42</v>
      </c>
      <c r="B23" s="36">
        <v>350</v>
      </c>
      <c r="D23" s="36">
        <v>350</v>
      </c>
      <c r="E23" s="36"/>
      <c r="F23" s="36">
        <v>300</v>
      </c>
      <c r="G23" s="36"/>
      <c r="H23" s="36">
        <v>300</v>
      </c>
    </row>
    <row r="24" spans="2:8" ht="12.75" customHeight="1">
      <c r="B24" s="7"/>
      <c r="D24" s="36"/>
      <c r="E24" s="36"/>
      <c r="F24" s="36"/>
      <c r="G24" s="36"/>
      <c r="H24" s="36"/>
    </row>
    <row r="25" spans="1:8" ht="12.75" customHeight="1">
      <c r="A25" t="s">
        <v>43</v>
      </c>
      <c r="B25" s="36">
        <v>275</v>
      </c>
      <c r="D25" s="36">
        <v>275</v>
      </c>
      <c r="E25" s="36"/>
      <c r="F25" s="36">
        <v>200</v>
      </c>
      <c r="G25" s="36"/>
      <c r="H25" s="36">
        <v>200</v>
      </c>
    </row>
    <row r="26" ht="12.75" customHeight="1">
      <c r="B26" s="7"/>
    </row>
    <row r="27" spans="1:8" ht="12.75" customHeight="1">
      <c r="A27" t="s">
        <v>44</v>
      </c>
      <c r="B27" s="7">
        <f>(B23*B25)/(B23+B25)</f>
        <v>154</v>
      </c>
      <c r="D27" s="7">
        <f>(D23*D25)/(D23+D25)</f>
        <v>154</v>
      </c>
      <c r="F27" s="7">
        <f>(F23*F25)/(F23+F25)</f>
        <v>120</v>
      </c>
      <c r="H27" s="7">
        <f>(H23*H25)/(H23+H25)</f>
        <v>120</v>
      </c>
    </row>
    <row r="28" ht="12.75" customHeight="1"/>
    <row r="29" s="67" customFormat="1" ht="12.75">
      <c r="A29" s="67" t="s">
        <v>218</v>
      </c>
    </row>
    <row r="30" ht="7.5" customHeight="1"/>
    <row r="31" spans="1:8" ht="12.75">
      <c r="A31" t="s">
        <v>45</v>
      </c>
      <c r="B31" s="36">
        <v>15.875</v>
      </c>
      <c r="C31" s="36"/>
      <c r="D31" s="36">
        <v>15.875</v>
      </c>
      <c r="E31" s="36"/>
      <c r="F31" s="36">
        <v>15.875</v>
      </c>
      <c r="G31" s="36"/>
      <c r="H31" s="36">
        <v>15.875</v>
      </c>
    </row>
    <row r="32" spans="2:8" ht="7.5" customHeight="1">
      <c r="B32" s="36"/>
      <c r="C32" s="36"/>
      <c r="D32" s="36"/>
      <c r="E32" s="36"/>
      <c r="F32" s="36"/>
      <c r="G32" s="36"/>
      <c r="H32" s="36"/>
    </row>
    <row r="33" spans="1:8" ht="12.75">
      <c r="A33" t="s">
        <v>46</v>
      </c>
      <c r="B33" s="36">
        <v>14.2</v>
      </c>
      <c r="C33" s="36"/>
      <c r="D33" s="36">
        <v>14.2</v>
      </c>
      <c r="E33" s="36"/>
      <c r="F33" s="36">
        <v>14.3</v>
      </c>
      <c r="G33" s="36"/>
      <c r="H33" s="36">
        <v>14.3</v>
      </c>
    </row>
    <row r="34" ht="7.5" customHeight="1"/>
    <row r="35" spans="1:8" ht="12.75">
      <c r="A35" t="s">
        <v>57</v>
      </c>
      <c r="B35" s="7">
        <f>B31-B33</f>
        <v>1.6750000000000007</v>
      </c>
      <c r="C35" s="7"/>
      <c r="D35" s="7">
        <f>D31-D33</f>
        <v>1.6750000000000007</v>
      </c>
      <c r="E35" s="7"/>
      <c r="F35" s="7">
        <f>F31-F33</f>
        <v>1.5749999999999993</v>
      </c>
      <c r="G35" s="7"/>
      <c r="H35" s="7">
        <f>H31-H33</f>
        <v>1.5749999999999993</v>
      </c>
    </row>
    <row r="36" ht="7.5" customHeight="1"/>
    <row r="37" spans="1:8" ht="12.75">
      <c r="A37" t="s">
        <v>47</v>
      </c>
      <c r="B37" s="36">
        <v>13.875</v>
      </c>
      <c r="C37" s="36"/>
      <c r="D37" s="36">
        <v>13.875</v>
      </c>
      <c r="E37" s="36"/>
      <c r="F37" s="36">
        <v>13.875</v>
      </c>
      <c r="G37" s="36"/>
      <c r="H37" s="36">
        <v>13.875</v>
      </c>
    </row>
    <row r="38" spans="2:8" ht="7.5" customHeight="1">
      <c r="B38" s="36"/>
      <c r="C38" s="36"/>
      <c r="D38" s="36"/>
      <c r="E38" s="36"/>
      <c r="F38" s="36"/>
      <c r="G38" s="36"/>
      <c r="H38" s="36"/>
    </row>
    <row r="39" spans="1:8" ht="12.75">
      <c r="A39" t="s">
        <v>48</v>
      </c>
      <c r="B39" s="36">
        <v>11.6</v>
      </c>
      <c r="C39" s="36"/>
      <c r="D39" s="36">
        <v>11.6</v>
      </c>
      <c r="E39" s="36"/>
      <c r="F39" s="36">
        <v>11.6</v>
      </c>
      <c r="G39" s="36"/>
      <c r="H39" s="36">
        <v>11.6</v>
      </c>
    </row>
    <row r="40" ht="7.5" customHeight="1"/>
    <row r="41" spans="1:8" ht="12.75">
      <c r="A41" t="s">
        <v>58</v>
      </c>
      <c r="B41" s="7">
        <f>B37-B39</f>
        <v>2.2750000000000004</v>
      </c>
      <c r="C41" s="7"/>
      <c r="D41" s="7">
        <f>D37-D39</f>
        <v>2.2750000000000004</v>
      </c>
      <c r="E41" s="7"/>
      <c r="F41" s="7">
        <f>F37-F39</f>
        <v>2.2750000000000004</v>
      </c>
      <c r="G41" s="7"/>
      <c r="H41" s="7">
        <f>H37-H39</f>
        <v>2.2750000000000004</v>
      </c>
    </row>
    <row r="42" spans="2:8" ht="7.5" customHeight="1">
      <c r="B42" s="7"/>
      <c r="C42" s="7"/>
      <c r="D42" s="7"/>
      <c r="E42" s="7"/>
      <c r="F42" s="7"/>
      <c r="G42" s="7"/>
      <c r="H42" s="7"/>
    </row>
    <row r="43" spans="1:8" ht="12.75">
      <c r="A43" t="s">
        <v>49</v>
      </c>
      <c r="B43" s="7">
        <f>B31+B37</f>
        <v>29.75</v>
      </c>
      <c r="C43" s="7"/>
      <c r="D43" s="7">
        <f>D31+D37</f>
        <v>29.75</v>
      </c>
      <c r="E43" s="7"/>
      <c r="F43" s="7">
        <f>F31+F37</f>
        <v>29.75</v>
      </c>
      <c r="G43" s="7"/>
      <c r="H43" s="7">
        <f>H31+H37</f>
        <v>29.75</v>
      </c>
    </row>
    <row r="44" ht="7.5" customHeight="1"/>
    <row r="45" spans="1:8" ht="12.75">
      <c r="A45" t="s">
        <v>50</v>
      </c>
      <c r="B45" s="7">
        <f>B33+B39</f>
        <v>25.799999999999997</v>
      </c>
      <c r="C45" s="7"/>
      <c r="D45" s="7">
        <f>D33+D39</f>
        <v>25.799999999999997</v>
      </c>
      <c r="E45" s="7"/>
      <c r="F45" s="7">
        <f>F33+F39</f>
        <v>25.9</v>
      </c>
      <c r="G45" s="7"/>
      <c r="H45" s="7">
        <f>H33+H39</f>
        <v>25.9</v>
      </c>
    </row>
    <row r="46" spans="2:8" ht="7.5" customHeight="1">
      <c r="B46" s="7"/>
      <c r="C46" s="7"/>
      <c r="D46" s="7"/>
      <c r="E46" s="7"/>
      <c r="F46" s="7"/>
      <c r="G46" s="7"/>
      <c r="H46" s="7"/>
    </row>
    <row r="47" spans="1:8" ht="12.75">
      <c r="A47" t="s">
        <v>59</v>
      </c>
      <c r="B47" s="7">
        <f>B43-B45</f>
        <v>3.950000000000003</v>
      </c>
      <c r="C47" s="7"/>
      <c r="D47" s="7">
        <f>D43-D45</f>
        <v>3.950000000000003</v>
      </c>
      <c r="E47" s="7"/>
      <c r="F47" s="7">
        <f>F43-F45</f>
        <v>3.8500000000000014</v>
      </c>
      <c r="G47" s="7"/>
      <c r="H47" s="7">
        <f>H43-H45</f>
        <v>3.8500000000000014</v>
      </c>
    </row>
    <row r="48" spans="2:8" ht="7.5" customHeight="1">
      <c r="B48" s="7"/>
      <c r="C48" s="7"/>
      <c r="D48" s="7"/>
      <c r="E48" s="7"/>
      <c r="F48" s="7"/>
      <c r="G48" s="7"/>
      <c r="H48" s="7"/>
    </row>
    <row r="49" s="67" customFormat="1" ht="12.75">
      <c r="A49" s="67" t="s">
        <v>265</v>
      </c>
    </row>
    <row r="50" spans="2:8" ht="7.5" customHeight="1">
      <c r="B50" s="7"/>
      <c r="C50" s="7"/>
      <c r="D50" s="7"/>
      <c r="E50" s="7"/>
      <c r="F50" s="7"/>
      <c r="G50" s="7"/>
      <c r="H50" s="7"/>
    </row>
    <row r="51" spans="1:8" s="2" customFormat="1" ht="12.75">
      <c r="A51" s="2" t="s">
        <v>60</v>
      </c>
      <c r="B51" s="1">
        <f>B23*B11*B35</f>
        <v>584.0191417562861</v>
      </c>
      <c r="C51" s="1"/>
      <c r="D51" s="1">
        <f>D23*D11*D35</f>
        <v>584.0191417562861</v>
      </c>
      <c r="E51" s="1"/>
      <c r="F51" s="1">
        <f>F23*F11*F35</f>
        <v>472.2121657665225</v>
      </c>
      <c r="G51" s="1"/>
      <c r="H51" s="1">
        <f>H23*H11*H35</f>
        <v>472.2121657665225</v>
      </c>
    </row>
    <row r="52" spans="2:8" s="2" customFormat="1" ht="7.5" customHeight="1">
      <c r="B52" s="1"/>
      <c r="C52" s="1"/>
      <c r="D52" s="1"/>
      <c r="E52" s="1"/>
      <c r="F52" s="1"/>
      <c r="G52" s="1"/>
      <c r="H52" s="1"/>
    </row>
    <row r="53" spans="1:8" s="2" customFormat="1" ht="12.75">
      <c r="A53" s="2" t="s">
        <v>61</v>
      </c>
      <c r="B53" s="1">
        <f>B25*B11*B41</f>
        <v>623.2443079936485</v>
      </c>
      <c r="C53" s="1"/>
      <c r="D53" s="1">
        <f>D25*D11*D41</f>
        <v>623.2443079936485</v>
      </c>
      <c r="E53" s="1"/>
      <c r="F53" s="1">
        <f>F25*F11*F41</f>
        <v>454.7228262936886</v>
      </c>
      <c r="G53" s="1"/>
      <c r="H53" s="1">
        <f>H25*H11*H41</f>
        <v>454.7228262936886</v>
      </c>
    </row>
    <row r="54" spans="2:8" s="2" customFormat="1" ht="7.5" customHeight="1">
      <c r="B54" s="1"/>
      <c r="C54" s="1"/>
      <c r="D54" s="1"/>
      <c r="E54" s="1"/>
      <c r="F54" s="1"/>
      <c r="G54" s="1"/>
      <c r="H54" s="1"/>
    </row>
    <row r="55" spans="1:8" s="2" customFormat="1" ht="12.75">
      <c r="A55" s="2" t="s">
        <v>62</v>
      </c>
      <c r="B55" s="1">
        <f>B27*B11*B47</f>
        <v>605.9852348492092</v>
      </c>
      <c r="C55" s="1"/>
      <c r="D55" s="1">
        <f>D27*D11*D47</f>
        <v>605.9852348492092</v>
      </c>
      <c r="E55" s="1"/>
      <c r="F55" s="1">
        <f>F27*F11*F47</f>
        <v>461.7185620828224</v>
      </c>
      <c r="G55" s="1"/>
      <c r="H55" s="1">
        <f>H27*H11*H47</f>
        <v>461.7185620828224</v>
      </c>
    </row>
    <row r="56" spans="2:8" s="2" customFormat="1" ht="7.5" customHeight="1">
      <c r="B56" s="1"/>
      <c r="C56" s="1"/>
      <c r="D56" s="1"/>
      <c r="E56" s="1"/>
      <c r="F56" s="1"/>
      <c r="G56" s="1"/>
      <c r="H56" s="1"/>
    </row>
    <row r="57" spans="1:8" s="2" customFormat="1" ht="12.75">
      <c r="A57" s="2" t="s">
        <v>63</v>
      </c>
      <c r="B57" s="37">
        <f>AVERAGE(B51:B55)</f>
        <v>604.4162281997146</v>
      </c>
      <c r="C57" s="37"/>
      <c r="D57" s="37">
        <f>AVERAGE(D51:D55)</f>
        <v>604.4162281997146</v>
      </c>
      <c r="E57" s="37"/>
      <c r="F57" s="37">
        <f>AVERAGE(F51:F55)</f>
        <v>462.88451804767783</v>
      </c>
      <c r="G57" s="37"/>
      <c r="H57" s="37">
        <f>AVERAGE(H51:H55)</f>
        <v>462.88451804767783</v>
      </c>
    </row>
  </sheetData>
  <printOptions/>
  <pageMargins left="0.75" right="0.75" top="1" bottom="1" header="0.5" footer="0.5"/>
  <pageSetup horizontalDpi="1200" verticalDpi="1200" orientation="portrait" r:id="rId3"/>
  <legacyDrawing r:id="rId2"/>
</worksheet>
</file>

<file path=xl/worksheets/sheet3.xml><?xml version="1.0" encoding="utf-8"?>
<worksheet xmlns="http://schemas.openxmlformats.org/spreadsheetml/2006/main" xmlns:r="http://schemas.openxmlformats.org/officeDocument/2006/relationships">
  <dimension ref="A1:AH37"/>
  <sheetViews>
    <sheetView workbookViewId="0" topLeftCell="A1">
      <pane xSplit="1" ySplit="4" topLeftCell="B5" activePane="bottomRight" state="frozen"/>
      <selection pane="topLeft" activeCell="A1" sqref="A1"/>
      <selection pane="topRight" activeCell="B1" sqref="B1"/>
      <selection pane="bottomLeft" activeCell="A2" sqref="A2"/>
      <selection pane="bottomRight" activeCell="AK13" sqref="AK13"/>
    </sheetView>
  </sheetViews>
  <sheetFormatPr defaultColWidth="9.140625" defaultRowHeight="12.75"/>
  <cols>
    <col min="1" max="1" width="16.8515625" style="5" bestFit="1" customWidth="1"/>
    <col min="2" max="3" width="3.00390625" style="6" bestFit="1" customWidth="1"/>
    <col min="4" max="14" width="4.00390625" style="6" bestFit="1" customWidth="1"/>
    <col min="15" max="15" width="4.00390625" style="4" bestFit="1" customWidth="1"/>
    <col min="16" max="34" width="4.00390625" style="6" bestFit="1" customWidth="1"/>
    <col min="35" max="16384" width="9.140625" style="6" customWidth="1"/>
  </cols>
  <sheetData>
    <row r="1" ht="12.75">
      <c r="B1" s="6" t="s">
        <v>37</v>
      </c>
    </row>
    <row r="2" ht="12.75">
      <c r="B2" s="6" t="s">
        <v>36</v>
      </c>
    </row>
    <row r="3" ht="12.75">
      <c r="B3" s="35" t="s">
        <v>34</v>
      </c>
    </row>
    <row r="4" spans="1:34" s="5" customFormat="1" ht="15.75" customHeight="1">
      <c r="A4" s="66" t="s">
        <v>35</v>
      </c>
      <c r="B4" s="5">
        <v>80</v>
      </c>
      <c r="C4" s="5">
        <v>90</v>
      </c>
      <c r="D4" s="5">
        <v>100</v>
      </c>
      <c r="E4" s="5">
        <v>110</v>
      </c>
      <c r="F4" s="5">
        <v>120</v>
      </c>
      <c r="G4" s="5">
        <v>125</v>
      </c>
      <c r="H4" s="5">
        <v>130</v>
      </c>
      <c r="I4" s="5">
        <v>140</v>
      </c>
      <c r="J4" s="5">
        <v>150</v>
      </c>
      <c r="K4" s="5">
        <v>165</v>
      </c>
      <c r="L4" s="5">
        <v>175</v>
      </c>
      <c r="M4" s="5">
        <v>185</v>
      </c>
      <c r="N4" s="5">
        <v>200</v>
      </c>
      <c r="O4" s="3">
        <v>225</v>
      </c>
      <c r="P4" s="5">
        <v>250</v>
      </c>
      <c r="Q4" s="5">
        <v>275</v>
      </c>
      <c r="R4" s="5">
        <v>300</v>
      </c>
      <c r="S4" s="5">
        <v>350</v>
      </c>
      <c r="T4" s="5">
        <v>375</v>
      </c>
      <c r="U4" s="5">
        <v>400</v>
      </c>
      <c r="V4" s="5">
        <v>425</v>
      </c>
      <c r="W4" s="5">
        <v>450</v>
      </c>
      <c r="X4" s="5">
        <v>475</v>
      </c>
      <c r="Y4" s="5">
        <v>500</v>
      </c>
      <c r="Z4" s="5">
        <v>525</v>
      </c>
      <c r="AA4" s="5">
        <v>550</v>
      </c>
      <c r="AB4" s="5">
        <v>600</v>
      </c>
      <c r="AC4" s="5">
        <v>625</v>
      </c>
      <c r="AD4" s="5">
        <v>650</v>
      </c>
      <c r="AE4" s="5">
        <v>700</v>
      </c>
      <c r="AF4" s="5">
        <v>725</v>
      </c>
      <c r="AG4" s="5">
        <v>750</v>
      </c>
      <c r="AH4" s="5">
        <v>800</v>
      </c>
    </row>
    <row r="5" spans="1:34" ht="12.75">
      <c r="A5" s="5">
        <v>80</v>
      </c>
      <c r="B5" s="6">
        <f aca="true" t="shared" si="0" ref="B5:B37">($B$4*A5)/($B$4+A5)</f>
        <v>40</v>
      </c>
      <c r="C5" s="6">
        <f aca="true" t="shared" si="1" ref="C5:C37">($C$4*A5)/($C$4+A5)</f>
        <v>42.35294117647059</v>
      </c>
      <c r="D5" s="6">
        <f aca="true" t="shared" si="2" ref="D5:D37">($D$4*A5)/($D$4+A5)</f>
        <v>44.44444444444444</v>
      </c>
      <c r="E5" s="6">
        <f aca="true" t="shared" si="3" ref="E5:E37">($E$4*A5)/($E$4+A5)</f>
        <v>46.31578947368421</v>
      </c>
      <c r="F5" s="6">
        <f aca="true" t="shared" si="4" ref="F5:F37">($F$4*A5)/($F$4+A5)</f>
        <v>48</v>
      </c>
      <c r="G5" s="6">
        <f aca="true" t="shared" si="5" ref="G5:G37">($G$4*A5)/($G$4+A5)</f>
        <v>48.78048780487805</v>
      </c>
      <c r="H5" s="6">
        <f aca="true" t="shared" si="6" ref="H5:H37">($H$4*A5)/($H$4+A5)</f>
        <v>49.523809523809526</v>
      </c>
      <c r="I5" s="6">
        <f aca="true" t="shared" si="7" ref="I5:I37">($I$4*A5)/($I$4+A5)</f>
        <v>50.90909090909091</v>
      </c>
      <c r="J5" s="6">
        <f aca="true" t="shared" si="8" ref="J5:J37">($J$4*A5)/($J$4+A5)</f>
        <v>52.17391304347826</v>
      </c>
      <c r="K5" s="6">
        <f aca="true" t="shared" si="9" ref="K5:K37">($K$4*A5)/($K$4+A5)</f>
        <v>53.87755102040816</v>
      </c>
      <c r="L5" s="6">
        <f aca="true" t="shared" si="10" ref="L5:L37">($L$4*A5)/($L$4+A5)</f>
        <v>54.90196078431372</v>
      </c>
      <c r="M5" s="6">
        <f aca="true" t="shared" si="11" ref="M5:M37">($M$4*A5)/($M$4+A5)</f>
        <v>55.84905660377358</v>
      </c>
      <c r="N5" s="6">
        <f aca="true" t="shared" si="12" ref="N5:N37">($N$4*A5)/($N$4+A5)</f>
        <v>57.142857142857146</v>
      </c>
      <c r="O5" s="4">
        <f aca="true" t="shared" si="13" ref="O5:O37">($O$4*A5)/($O$4+A5)</f>
        <v>59.01639344262295</v>
      </c>
      <c r="P5" s="6">
        <f aca="true" t="shared" si="14" ref="P5:P37">($P$4*A5)/($P$4+A5)</f>
        <v>60.60606060606061</v>
      </c>
      <c r="Q5" s="6">
        <f aca="true" t="shared" si="15" ref="Q5:Q37">($Q$4*A5)/($Q$4+A5)</f>
        <v>61.971830985915496</v>
      </c>
      <c r="R5" s="6">
        <f aca="true" t="shared" si="16" ref="R5:R37">($R$4*A5)/($R$4+A5)</f>
        <v>63.1578947368421</v>
      </c>
      <c r="S5" s="6">
        <f aca="true" t="shared" si="17" ref="S5:S37">($S$4*A5)/($S$4+A5)</f>
        <v>65.11627906976744</v>
      </c>
      <c r="T5" s="6">
        <f aca="true" t="shared" si="18" ref="T5:T37">($T$4*A5)/($T$4+A5)</f>
        <v>65.93406593406593</v>
      </c>
      <c r="U5" s="6">
        <f aca="true" t="shared" si="19" ref="U5:U37">($U$4*A5)/($U$4+A5)</f>
        <v>66.66666666666667</v>
      </c>
      <c r="V5" s="6">
        <f aca="true" t="shared" si="20" ref="V5:V37">($V$4*A5)/($V$4+A5)</f>
        <v>67.32673267326733</v>
      </c>
      <c r="W5" s="6">
        <f aca="true" t="shared" si="21" ref="W5:W37">($W$4*A5)/($W$4+A5)</f>
        <v>67.9245283018868</v>
      </c>
      <c r="X5" s="6">
        <f aca="true" t="shared" si="22" ref="X5:X37">($X$4*A5)/($X$4+A5)</f>
        <v>68.46846846846847</v>
      </c>
      <c r="Y5" s="6">
        <f aca="true" t="shared" si="23" ref="Y5:Y37">($Y$4*A5)/($Y$4+A5)</f>
        <v>68.96551724137932</v>
      </c>
      <c r="Z5" s="6">
        <f aca="true" t="shared" si="24" ref="Z5:Z37">($Z$4*A5)/($Z$4+A5)</f>
        <v>69.42148760330579</v>
      </c>
      <c r="AA5" s="6">
        <f aca="true" t="shared" si="25" ref="AA5:AA37">($AA$4*A5)/($AA$4+A5)</f>
        <v>69.84126984126983</v>
      </c>
      <c r="AB5" s="6">
        <f aca="true" t="shared" si="26" ref="AB5:AB37">($AB$4*A5)/($AB$4+A5)</f>
        <v>70.58823529411765</v>
      </c>
      <c r="AC5" s="6">
        <f aca="true" t="shared" si="27" ref="AC5:AC37">($AC$4*A5)/($AC$4+A5)</f>
        <v>70.92198581560284</v>
      </c>
      <c r="AD5" s="6">
        <f aca="true" t="shared" si="28" ref="AD5:AD37">($AD$4*A5)/($AD$4+A5)</f>
        <v>71.23287671232876</v>
      </c>
      <c r="AE5" s="6">
        <f aca="true" t="shared" si="29" ref="AE5:AE37">($AE$4*A5)/($AE$4+A5)</f>
        <v>71.7948717948718</v>
      </c>
      <c r="AF5" s="6">
        <f aca="true" t="shared" si="30" ref="AF5:AF37">($AF$4*A5)/($AF$4+A5)</f>
        <v>72.04968944099379</v>
      </c>
      <c r="AG5" s="6">
        <f aca="true" t="shared" si="31" ref="AG5:AG37">($AG$4*A5)/($AG$4+A5)</f>
        <v>72.28915662650603</v>
      </c>
      <c r="AH5" s="6">
        <f aca="true" t="shared" si="32" ref="AH5:AH37">($AH$4*A5)/($AH$4+A5)</f>
        <v>72.72727272727273</v>
      </c>
    </row>
    <row r="6" spans="1:34" ht="12.75">
      <c r="A6" s="5">
        <v>90</v>
      </c>
      <c r="B6" s="6">
        <f t="shared" si="0"/>
        <v>42.35294117647059</v>
      </c>
      <c r="C6" s="6">
        <f t="shared" si="1"/>
        <v>45</v>
      </c>
      <c r="D6" s="6">
        <f t="shared" si="2"/>
        <v>47.36842105263158</v>
      </c>
      <c r="E6" s="6">
        <f t="shared" si="3"/>
        <v>49.5</v>
      </c>
      <c r="F6" s="6">
        <f t="shared" si="4"/>
        <v>51.42857142857143</v>
      </c>
      <c r="G6" s="6">
        <f t="shared" si="5"/>
        <v>52.325581395348834</v>
      </c>
      <c r="H6" s="6">
        <f t="shared" si="6"/>
        <v>53.18181818181818</v>
      </c>
      <c r="I6" s="6">
        <f t="shared" si="7"/>
        <v>54.78260869565217</v>
      </c>
      <c r="J6" s="6">
        <f t="shared" si="8"/>
        <v>56.25</v>
      </c>
      <c r="K6" s="6">
        <f t="shared" si="9"/>
        <v>58.23529411764706</v>
      </c>
      <c r="L6" s="6">
        <f t="shared" si="10"/>
        <v>59.43396226415094</v>
      </c>
      <c r="M6" s="6">
        <f t="shared" si="11"/>
        <v>60.54545454545455</v>
      </c>
      <c r="N6" s="6">
        <f t="shared" si="12"/>
        <v>62.06896551724138</v>
      </c>
      <c r="O6" s="4">
        <f t="shared" si="13"/>
        <v>64.28571428571429</v>
      </c>
      <c r="P6" s="6">
        <f t="shared" si="14"/>
        <v>66.17647058823529</v>
      </c>
      <c r="Q6" s="6">
        <f t="shared" si="15"/>
        <v>67.8082191780822</v>
      </c>
      <c r="R6" s="6">
        <f t="shared" si="16"/>
        <v>69.23076923076923</v>
      </c>
      <c r="S6" s="6">
        <f t="shared" si="17"/>
        <v>71.5909090909091</v>
      </c>
      <c r="T6" s="6">
        <f t="shared" si="18"/>
        <v>72.58064516129032</v>
      </c>
      <c r="U6" s="6">
        <f t="shared" si="19"/>
        <v>73.46938775510205</v>
      </c>
      <c r="V6" s="6">
        <f t="shared" si="20"/>
        <v>74.27184466019418</v>
      </c>
      <c r="W6" s="6">
        <f t="shared" si="21"/>
        <v>75</v>
      </c>
      <c r="X6" s="6">
        <f t="shared" si="22"/>
        <v>75.66371681415929</v>
      </c>
      <c r="Y6" s="6">
        <f t="shared" si="23"/>
        <v>76.27118644067797</v>
      </c>
      <c r="Z6" s="6">
        <f t="shared" si="24"/>
        <v>76.82926829268293</v>
      </c>
      <c r="AA6" s="6">
        <f t="shared" si="25"/>
        <v>77.34375</v>
      </c>
      <c r="AB6" s="6">
        <f t="shared" si="26"/>
        <v>78.26086956521739</v>
      </c>
      <c r="AC6" s="6">
        <f t="shared" si="27"/>
        <v>78.67132867132867</v>
      </c>
      <c r="AD6" s="6">
        <f t="shared" si="28"/>
        <v>79.05405405405405</v>
      </c>
      <c r="AE6" s="6">
        <f t="shared" si="29"/>
        <v>79.74683544303798</v>
      </c>
      <c r="AF6" s="6">
        <f t="shared" si="30"/>
        <v>80.06134969325153</v>
      </c>
      <c r="AG6" s="6">
        <f t="shared" si="31"/>
        <v>80.35714285714286</v>
      </c>
      <c r="AH6" s="6">
        <f t="shared" si="32"/>
        <v>80.89887640449439</v>
      </c>
    </row>
    <row r="7" spans="1:34" ht="12.75">
      <c r="A7" s="5">
        <v>100</v>
      </c>
      <c r="B7" s="6">
        <f t="shared" si="0"/>
        <v>44.44444444444444</v>
      </c>
      <c r="C7" s="6">
        <f t="shared" si="1"/>
        <v>47.36842105263158</v>
      </c>
      <c r="D7" s="6">
        <f t="shared" si="2"/>
        <v>50</v>
      </c>
      <c r="E7" s="6">
        <f t="shared" si="3"/>
        <v>52.38095238095238</v>
      </c>
      <c r="F7" s="6">
        <f t="shared" si="4"/>
        <v>54.54545454545455</v>
      </c>
      <c r="G7" s="6">
        <f t="shared" si="5"/>
        <v>55.55555555555556</v>
      </c>
      <c r="H7" s="6">
        <f t="shared" si="6"/>
        <v>56.52173913043478</v>
      </c>
      <c r="I7" s="6">
        <f t="shared" si="7"/>
        <v>58.333333333333336</v>
      </c>
      <c r="J7" s="6">
        <f t="shared" si="8"/>
        <v>60</v>
      </c>
      <c r="K7" s="6">
        <f t="shared" si="9"/>
        <v>62.264150943396224</v>
      </c>
      <c r="L7" s="6">
        <f t="shared" si="10"/>
        <v>63.63636363636363</v>
      </c>
      <c r="M7" s="6">
        <f t="shared" si="11"/>
        <v>64.91228070175438</v>
      </c>
      <c r="N7" s="6">
        <f t="shared" si="12"/>
        <v>66.66666666666667</v>
      </c>
      <c r="O7" s="4">
        <f t="shared" si="13"/>
        <v>69.23076923076923</v>
      </c>
      <c r="P7" s="6">
        <f t="shared" si="14"/>
        <v>71.42857142857143</v>
      </c>
      <c r="Q7" s="6">
        <f t="shared" si="15"/>
        <v>73.33333333333333</v>
      </c>
      <c r="R7" s="6">
        <f t="shared" si="16"/>
        <v>75</v>
      </c>
      <c r="S7" s="6">
        <f t="shared" si="17"/>
        <v>77.77777777777777</v>
      </c>
      <c r="T7" s="6">
        <f t="shared" si="18"/>
        <v>78.94736842105263</v>
      </c>
      <c r="U7" s="6">
        <f t="shared" si="19"/>
        <v>80</v>
      </c>
      <c r="V7" s="6">
        <f t="shared" si="20"/>
        <v>80.95238095238095</v>
      </c>
      <c r="W7" s="6">
        <f t="shared" si="21"/>
        <v>81.81818181818181</v>
      </c>
      <c r="X7" s="6">
        <f t="shared" si="22"/>
        <v>82.6086956521739</v>
      </c>
      <c r="Y7" s="6">
        <f t="shared" si="23"/>
        <v>83.33333333333333</v>
      </c>
      <c r="Z7" s="6">
        <f t="shared" si="24"/>
        <v>84</v>
      </c>
      <c r="AA7" s="6">
        <f t="shared" si="25"/>
        <v>84.61538461538461</v>
      </c>
      <c r="AB7" s="6">
        <f t="shared" si="26"/>
        <v>85.71428571428571</v>
      </c>
      <c r="AC7" s="6">
        <f t="shared" si="27"/>
        <v>86.20689655172414</v>
      </c>
      <c r="AD7" s="6">
        <f t="shared" si="28"/>
        <v>86.66666666666667</v>
      </c>
      <c r="AE7" s="6">
        <f t="shared" si="29"/>
        <v>87.5</v>
      </c>
      <c r="AF7" s="6">
        <f t="shared" si="30"/>
        <v>87.87878787878788</v>
      </c>
      <c r="AG7" s="6">
        <f t="shared" si="31"/>
        <v>88.23529411764706</v>
      </c>
      <c r="AH7" s="6">
        <f t="shared" si="32"/>
        <v>88.88888888888889</v>
      </c>
    </row>
    <row r="8" spans="1:34" ht="12.75">
      <c r="A8" s="5">
        <v>110</v>
      </c>
      <c r="B8" s="6">
        <f t="shared" si="0"/>
        <v>46.31578947368421</v>
      </c>
      <c r="C8" s="6">
        <f t="shared" si="1"/>
        <v>49.5</v>
      </c>
      <c r="D8" s="6">
        <f t="shared" si="2"/>
        <v>52.38095238095238</v>
      </c>
      <c r="E8" s="6">
        <f t="shared" si="3"/>
        <v>55</v>
      </c>
      <c r="F8" s="6">
        <f t="shared" si="4"/>
        <v>57.391304347826086</v>
      </c>
      <c r="G8" s="6">
        <f t="shared" si="5"/>
        <v>58.51063829787234</v>
      </c>
      <c r="H8" s="6">
        <f t="shared" si="6"/>
        <v>59.583333333333336</v>
      </c>
      <c r="I8" s="6">
        <f t="shared" si="7"/>
        <v>61.6</v>
      </c>
      <c r="J8" s="6">
        <f t="shared" si="8"/>
        <v>63.46153846153846</v>
      </c>
      <c r="K8" s="6">
        <f t="shared" si="9"/>
        <v>66</v>
      </c>
      <c r="L8" s="6">
        <f t="shared" si="10"/>
        <v>67.54385964912281</v>
      </c>
      <c r="M8" s="6">
        <f t="shared" si="11"/>
        <v>68.98305084745763</v>
      </c>
      <c r="N8" s="6">
        <f t="shared" si="12"/>
        <v>70.96774193548387</v>
      </c>
      <c r="O8" s="4">
        <f t="shared" si="13"/>
        <v>73.88059701492537</v>
      </c>
      <c r="P8" s="6">
        <f t="shared" si="14"/>
        <v>76.38888888888889</v>
      </c>
      <c r="Q8" s="6">
        <f t="shared" si="15"/>
        <v>78.57142857142857</v>
      </c>
      <c r="R8" s="6">
        <f t="shared" si="16"/>
        <v>80.48780487804878</v>
      </c>
      <c r="S8" s="6">
        <f t="shared" si="17"/>
        <v>83.69565217391305</v>
      </c>
      <c r="T8" s="6">
        <f t="shared" si="18"/>
        <v>85.05154639175258</v>
      </c>
      <c r="U8" s="6">
        <f t="shared" si="19"/>
        <v>86.27450980392157</v>
      </c>
      <c r="V8" s="6">
        <f t="shared" si="20"/>
        <v>87.38317757009345</v>
      </c>
      <c r="W8" s="6">
        <f t="shared" si="21"/>
        <v>88.39285714285714</v>
      </c>
      <c r="X8" s="6">
        <f t="shared" si="22"/>
        <v>89.31623931623932</v>
      </c>
      <c r="Y8" s="6">
        <f t="shared" si="23"/>
        <v>90.1639344262295</v>
      </c>
      <c r="Z8" s="6">
        <f t="shared" si="24"/>
        <v>90.94488188976378</v>
      </c>
      <c r="AA8" s="6">
        <f t="shared" si="25"/>
        <v>91.66666666666667</v>
      </c>
      <c r="AB8" s="6">
        <f t="shared" si="26"/>
        <v>92.95774647887323</v>
      </c>
      <c r="AC8" s="6">
        <f t="shared" si="27"/>
        <v>93.5374149659864</v>
      </c>
      <c r="AD8" s="6">
        <f t="shared" si="28"/>
        <v>94.07894736842105</v>
      </c>
      <c r="AE8" s="6">
        <f t="shared" si="29"/>
        <v>95.06172839506173</v>
      </c>
      <c r="AF8" s="6">
        <f t="shared" si="30"/>
        <v>95.50898203592814</v>
      </c>
      <c r="AG8" s="6">
        <f t="shared" si="31"/>
        <v>95.93023255813954</v>
      </c>
      <c r="AH8" s="6">
        <f t="shared" si="32"/>
        <v>96.7032967032967</v>
      </c>
    </row>
    <row r="9" spans="1:34" ht="12.75">
      <c r="A9" s="5">
        <v>120</v>
      </c>
      <c r="B9" s="6">
        <f t="shared" si="0"/>
        <v>48</v>
      </c>
      <c r="C9" s="6">
        <f t="shared" si="1"/>
        <v>51.42857142857143</v>
      </c>
      <c r="D9" s="6">
        <f t="shared" si="2"/>
        <v>54.54545454545455</v>
      </c>
      <c r="E9" s="6">
        <f t="shared" si="3"/>
        <v>57.391304347826086</v>
      </c>
      <c r="F9" s="6">
        <f t="shared" si="4"/>
        <v>60</v>
      </c>
      <c r="G9" s="6">
        <f t="shared" si="5"/>
        <v>61.224489795918366</v>
      </c>
      <c r="H9" s="6">
        <f t="shared" si="6"/>
        <v>62.4</v>
      </c>
      <c r="I9" s="6">
        <f t="shared" si="7"/>
        <v>64.61538461538461</v>
      </c>
      <c r="J9" s="6">
        <f t="shared" si="8"/>
        <v>66.66666666666667</v>
      </c>
      <c r="K9" s="6">
        <f t="shared" si="9"/>
        <v>69.47368421052632</v>
      </c>
      <c r="L9" s="6">
        <f t="shared" si="10"/>
        <v>71.1864406779661</v>
      </c>
      <c r="M9" s="6">
        <f t="shared" si="11"/>
        <v>72.78688524590164</v>
      </c>
      <c r="N9" s="6">
        <f t="shared" si="12"/>
        <v>75</v>
      </c>
      <c r="O9" s="4">
        <f t="shared" si="13"/>
        <v>78.26086956521739</v>
      </c>
      <c r="P9" s="6">
        <f t="shared" si="14"/>
        <v>81.08108108108108</v>
      </c>
      <c r="Q9" s="6">
        <f t="shared" si="15"/>
        <v>83.54430379746836</v>
      </c>
      <c r="R9" s="6">
        <f t="shared" si="16"/>
        <v>85.71428571428571</v>
      </c>
      <c r="S9" s="6">
        <f t="shared" si="17"/>
        <v>89.36170212765957</v>
      </c>
      <c r="T9" s="6">
        <f t="shared" si="18"/>
        <v>90.9090909090909</v>
      </c>
      <c r="U9" s="6">
        <f t="shared" si="19"/>
        <v>92.3076923076923</v>
      </c>
      <c r="V9" s="6">
        <f t="shared" si="20"/>
        <v>93.57798165137615</v>
      </c>
      <c r="W9" s="6">
        <f t="shared" si="21"/>
        <v>94.73684210526316</v>
      </c>
      <c r="X9" s="6">
        <f t="shared" si="22"/>
        <v>95.7983193277311</v>
      </c>
      <c r="Y9" s="6">
        <f t="shared" si="23"/>
        <v>96.7741935483871</v>
      </c>
      <c r="Z9" s="6">
        <f t="shared" si="24"/>
        <v>97.67441860465117</v>
      </c>
      <c r="AA9" s="6">
        <f t="shared" si="25"/>
        <v>98.50746268656717</v>
      </c>
      <c r="AB9" s="6">
        <f t="shared" si="26"/>
        <v>100</v>
      </c>
      <c r="AC9" s="6">
        <f t="shared" si="27"/>
        <v>100.67114093959732</v>
      </c>
      <c r="AD9" s="6">
        <f t="shared" si="28"/>
        <v>101.2987012987013</v>
      </c>
      <c r="AE9" s="6">
        <f t="shared" si="29"/>
        <v>102.4390243902439</v>
      </c>
      <c r="AF9" s="6">
        <f t="shared" si="30"/>
        <v>102.9585798816568</v>
      </c>
      <c r="AG9" s="6">
        <f t="shared" si="31"/>
        <v>103.44827586206897</v>
      </c>
      <c r="AH9" s="6">
        <f t="shared" si="32"/>
        <v>104.34782608695652</v>
      </c>
    </row>
    <row r="10" spans="1:34" ht="12.75">
      <c r="A10" s="5">
        <v>125</v>
      </c>
      <c r="B10" s="6">
        <f t="shared" si="0"/>
        <v>48.78048780487805</v>
      </c>
      <c r="C10" s="6">
        <f t="shared" si="1"/>
        <v>52.325581395348834</v>
      </c>
      <c r="D10" s="6">
        <f t="shared" si="2"/>
        <v>55.55555555555556</v>
      </c>
      <c r="E10" s="6">
        <f t="shared" si="3"/>
        <v>58.51063829787234</v>
      </c>
      <c r="F10" s="6">
        <f t="shared" si="4"/>
        <v>61.224489795918366</v>
      </c>
      <c r="G10" s="6">
        <f t="shared" si="5"/>
        <v>62.5</v>
      </c>
      <c r="H10" s="6">
        <f t="shared" si="6"/>
        <v>63.72549019607843</v>
      </c>
      <c r="I10" s="6">
        <f t="shared" si="7"/>
        <v>66.0377358490566</v>
      </c>
      <c r="J10" s="6">
        <f t="shared" si="8"/>
        <v>68.18181818181819</v>
      </c>
      <c r="K10" s="6">
        <f t="shared" si="9"/>
        <v>71.12068965517241</v>
      </c>
      <c r="L10" s="6">
        <f t="shared" si="10"/>
        <v>72.91666666666667</v>
      </c>
      <c r="M10" s="6">
        <f t="shared" si="11"/>
        <v>74.59677419354838</v>
      </c>
      <c r="N10" s="6">
        <f t="shared" si="12"/>
        <v>76.92307692307692</v>
      </c>
      <c r="O10" s="4">
        <f t="shared" si="13"/>
        <v>80.35714285714286</v>
      </c>
      <c r="P10" s="6">
        <f t="shared" si="14"/>
        <v>83.33333333333333</v>
      </c>
      <c r="Q10" s="6">
        <f t="shared" si="15"/>
        <v>85.9375</v>
      </c>
      <c r="R10" s="6">
        <f t="shared" si="16"/>
        <v>88.23529411764706</v>
      </c>
      <c r="S10" s="6">
        <f t="shared" si="17"/>
        <v>92.10526315789474</v>
      </c>
      <c r="T10" s="6">
        <f t="shared" si="18"/>
        <v>93.75</v>
      </c>
      <c r="U10" s="6">
        <f t="shared" si="19"/>
        <v>95.23809523809524</v>
      </c>
      <c r="V10" s="6">
        <f t="shared" si="20"/>
        <v>96.5909090909091</v>
      </c>
      <c r="W10" s="6">
        <f t="shared" si="21"/>
        <v>97.82608695652173</v>
      </c>
      <c r="X10" s="6">
        <f t="shared" si="22"/>
        <v>98.95833333333333</v>
      </c>
      <c r="Y10" s="6">
        <f t="shared" si="23"/>
        <v>100</v>
      </c>
      <c r="Z10" s="6">
        <f t="shared" si="24"/>
        <v>100.96153846153847</v>
      </c>
      <c r="AA10" s="6">
        <f t="shared" si="25"/>
        <v>101.85185185185185</v>
      </c>
      <c r="AB10" s="6">
        <f t="shared" si="26"/>
        <v>103.44827586206897</v>
      </c>
      <c r="AC10" s="6">
        <f t="shared" si="27"/>
        <v>104.16666666666667</v>
      </c>
      <c r="AD10" s="6">
        <f t="shared" si="28"/>
        <v>104.83870967741936</v>
      </c>
      <c r="AE10" s="6">
        <f t="shared" si="29"/>
        <v>106.06060606060606</v>
      </c>
      <c r="AF10" s="6">
        <f t="shared" si="30"/>
        <v>106.61764705882354</v>
      </c>
      <c r="AG10" s="6">
        <f t="shared" si="31"/>
        <v>107.14285714285714</v>
      </c>
      <c r="AH10" s="6">
        <f t="shared" si="32"/>
        <v>108.10810810810811</v>
      </c>
    </row>
    <row r="11" spans="1:34" ht="12.75">
      <c r="A11" s="5">
        <v>130</v>
      </c>
      <c r="B11" s="6">
        <f t="shared" si="0"/>
        <v>49.523809523809526</v>
      </c>
      <c r="C11" s="6">
        <f t="shared" si="1"/>
        <v>53.18181818181818</v>
      </c>
      <c r="D11" s="6">
        <f t="shared" si="2"/>
        <v>56.52173913043478</v>
      </c>
      <c r="E11" s="6">
        <f t="shared" si="3"/>
        <v>59.583333333333336</v>
      </c>
      <c r="F11" s="6">
        <f t="shared" si="4"/>
        <v>62.4</v>
      </c>
      <c r="G11" s="6">
        <f t="shared" si="5"/>
        <v>63.72549019607843</v>
      </c>
      <c r="H11" s="6">
        <f t="shared" si="6"/>
        <v>65</v>
      </c>
      <c r="I11" s="6">
        <f t="shared" si="7"/>
        <v>67.4074074074074</v>
      </c>
      <c r="J11" s="6">
        <f t="shared" si="8"/>
        <v>69.64285714285714</v>
      </c>
      <c r="K11" s="6">
        <f t="shared" si="9"/>
        <v>72.71186440677967</v>
      </c>
      <c r="L11" s="6">
        <f t="shared" si="10"/>
        <v>74.59016393442623</v>
      </c>
      <c r="M11" s="6">
        <f t="shared" si="11"/>
        <v>76.34920634920636</v>
      </c>
      <c r="N11" s="6">
        <f t="shared" si="12"/>
        <v>78.78787878787878</v>
      </c>
      <c r="O11" s="4">
        <f t="shared" si="13"/>
        <v>82.3943661971831</v>
      </c>
      <c r="P11" s="6">
        <f t="shared" si="14"/>
        <v>85.52631578947368</v>
      </c>
      <c r="Q11" s="6">
        <f t="shared" si="15"/>
        <v>88.27160493827161</v>
      </c>
      <c r="R11" s="6">
        <f t="shared" si="16"/>
        <v>90.69767441860465</v>
      </c>
      <c r="S11" s="6">
        <f t="shared" si="17"/>
        <v>94.79166666666667</v>
      </c>
      <c r="T11" s="6">
        <f t="shared" si="18"/>
        <v>96.53465346534654</v>
      </c>
      <c r="U11" s="6">
        <f t="shared" si="19"/>
        <v>98.11320754716981</v>
      </c>
      <c r="V11" s="6">
        <f t="shared" si="20"/>
        <v>99.54954954954955</v>
      </c>
      <c r="W11" s="6">
        <f t="shared" si="21"/>
        <v>100.86206896551724</v>
      </c>
      <c r="X11" s="6">
        <f t="shared" si="22"/>
        <v>102.06611570247934</v>
      </c>
      <c r="Y11" s="6">
        <f t="shared" si="23"/>
        <v>103.17460317460318</v>
      </c>
      <c r="Z11" s="6">
        <f t="shared" si="24"/>
        <v>104.19847328244275</v>
      </c>
      <c r="AA11" s="6">
        <f t="shared" si="25"/>
        <v>105.1470588235294</v>
      </c>
      <c r="AB11" s="6">
        <f t="shared" si="26"/>
        <v>106.84931506849315</v>
      </c>
      <c r="AC11" s="6">
        <f t="shared" si="27"/>
        <v>107.6158940397351</v>
      </c>
      <c r="AD11" s="6">
        <f t="shared" si="28"/>
        <v>108.33333333333333</v>
      </c>
      <c r="AE11" s="6">
        <f t="shared" si="29"/>
        <v>109.63855421686748</v>
      </c>
      <c r="AF11" s="6">
        <f t="shared" si="30"/>
        <v>110.23391812865498</v>
      </c>
      <c r="AG11" s="6">
        <f t="shared" si="31"/>
        <v>110.79545454545455</v>
      </c>
      <c r="AH11" s="6">
        <f t="shared" si="32"/>
        <v>111.82795698924731</v>
      </c>
    </row>
    <row r="12" spans="1:34" ht="12.75">
      <c r="A12" s="5">
        <v>140</v>
      </c>
      <c r="B12" s="6">
        <f t="shared" si="0"/>
        <v>50.90909090909091</v>
      </c>
      <c r="C12" s="6">
        <f t="shared" si="1"/>
        <v>54.78260869565217</v>
      </c>
      <c r="D12" s="6">
        <f t="shared" si="2"/>
        <v>58.333333333333336</v>
      </c>
      <c r="E12" s="6">
        <f t="shared" si="3"/>
        <v>61.6</v>
      </c>
      <c r="F12" s="6">
        <f t="shared" si="4"/>
        <v>64.61538461538461</v>
      </c>
      <c r="G12" s="6">
        <f t="shared" si="5"/>
        <v>66.0377358490566</v>
      </c>
      <c r="H12" s="6">
        <f t="shared" si="6"/>
        <v>67.4074074074074</v>
      </c>
      <c r="I12" s="6">
        <f t="shared" si="7"/>
        <v>70</v>
      </c>
      <c r="J12" s="6">
        <f t="shared" si="8"/>
        <v>72.41379310344827</v>
      </c>
      <c r="K12" s="6">
        <f t="shared" si="9"/>
        <v>75.73770491803279</v>
      </c>
      <c r="L12" s="6">
        <f t="shared" si="10"/>
        <v>77.77777777777777</v>
      </c>
      <c r="M12" s="6">
        <f t="shared" si="11"/>
        <v>79.6923076923077</v>
      </c>
      <c r="N12" s="6">
        <f t="shared" si="12"/>
        <v>82.3529411764706</v>
      </c>
      <c r="O12" s="4">
        <f t="shared" si="13"/>
        <v>86.3013698630137</v>
      </c>
      <c r="P12" s="6">
        <f t="shared" si="14"/>
        <v>89.74358974358974</v>
      </c>
      <c r="Q12" s="6">
        <f t="shared" si="15"/>
        <v>92.7710843373494</v>
      </c>
      <c r="R12" s="6">
        <f t="shared" si="16"/>
        <v>95.45454545454545</v>
      </c>
      <c r="S12" s="6">
        <f t="shared" si="17"/>
        <v>100</v>
      </c>
      <c r="T12" s="6">
        <f t="shared" si="18"/>
        <v>101.94174757281553</v>
      </c>
      <c r="U12" s="6">
        <f t="shared" si="19"/>
        <v>103.70370370370371</v>
      </c>
      <c r="V12" s="6">
        <f t="shared" si="20"/>
        <v>105.30973451327434</v>
      </c>
      <c r="W12" s="6">
        <f t="shared" si="21"/>
        <v>106.77966101694915</v>
      </c>
      <c r="X12" s="6">
        <f t="shared" si="22"/>
        <v>108.130081300813</v>
      </c>
      <c r="Y12" s="6">
        <f t="shared" si="23"/>
        <v>109.375</v>
      </c>
      <c r="Z12" s="6">
        <f t="shared" si="24"/>
        <v>110.52631578947368</v>
      </c>
      <c r="AA12" s="6">
        <f t="shared" si="25"/>
        <v>111.59420289855072</v>
      </c>
      <c r="AB12" s="6">
        <f t="shared" si="26"/>
        <v>113.51351351351352</v>
      </c>
      <c r="AC12" s="6">
        <f t="shared" si="27"/>
        <v>114.37908496732027</v>
      </c>
      <c r="AD12" s="6">
        <f t="shared" si="28"/>
        <v>115.18987341772151</v>
      </c>
      <c r="AE12" s="6">
        <f t="shared" si="29"/>
        <v>116.66666666666667</v>
      </c>
      <c r="AF12" s="6">
        <f t="shared" si="30"/>
        <v>117.34104046242774</v>
      </c>
      <c r="AG12" s="6">
        <f t="shared" si="31"/>
        <v>117.97752808988764</v>
      </c>
      <c r="AH12" s="6">
        <f t="shared" si="32"/>
        <v>119.14893617021276</v>
      </c>
    </row>
    <row r="13" spans="1:34" ht="12.75">
      <c r="A13" s="5">
        <v>150</v>
      </c>
      <c r="B13" s="6">
        <f t="shared" si="0"/>
        <v>52.17391304347826</v>
      </c>
      <c r="C13" s="6">
        <f t="shared" si="1"/>
        <v>56.25</v>
      </c>
      <c r="D13" s="6">
        <f t="shared" si="2"/>
        <v>60</v>
      </c>
      <c r="E13" s="6">
        <f t="shared" si="3"/>
        <v>63.46153846153846</v>
      </c>
      <c r="F13" s="32">
        <f t="shared" si="4"/>
        <v>66.66666666666667</v>
      </c>
      <c r="G13" s="32">
        <f t="shared" si="5"/>
        <v>68.18181818181819</v>
      </c>
      <c r="H13" s="32">
        <f t="shared" si="6"/>
        <v>69.64285714285714</v>
      </c>
      <c r="I13" s="32">
        <f t="shared" si="7"/>
        <v>72.41379310344827</v>
      </c>
      <c r="J13" s="32">
        <f t="shared" si="8"/>
        <v>75</v>
      </c>
      <c r="K13" s="32">
        <f t="shared" si="9"/>
        <v>78.57142857142857</v>
      </c>
      <c r="L13" s="32">
        <f t="shared" si="10"/>
        <v>80.76923076923077</v>
      </c>
      <c r="M13" s="32">
        <f t="shared" si="11"/>
        <v>82.83582089552239</v>
      </c>
      <c r="N13" s="32">
        <f t="shared" si="12"/>
        <v>85.71428571428571</v>
      </c>
      <c r="O13" s="33">
        <f t="shared" si="13"/>
        <v>90</v>
      </c>
      <c r="P13" s="32">
        <f t="shared" si="14"/>
        <v>93.75</v>
      </c>
      <c r="Q13" s="32">
        <f t="shared" si="15"/>
        <v>97.05882352941177</v>
      </c>
      <c r="R13" s="32">
        <f t="shared" si="16"/>
        <v>100</v>
      </c>
      <c r="S13" s="32">
        <f t="shared" si="17"/>
        <v>105</v>
      </c>
      <c r="T13" s="32">
        <f t="shared" si="18"/>
        <v>107.14285714285714</v>
      </c>
      <c r="U13" s="32">
        <f t="shared" si="19"/>
        <v>109.0909090909091</v>
      </c>
      <c r="V13" s="32">
        <f t="shared" si="20"/>
        <v>110.8695652173913</v>
      </c>
      <c r="W13" s="32">
        <f t="shared" si="21"/>
        <v>112.5</v>
      </c>
      <c r="X13" s="32">
        <f t="shared" si="22"/>
        <v>114</v>
      </c>
      <c r="Y13" s="6">
        <f t="shared" si="23"/>
        <v>115.38461538461539</v>
      </c>
      <c r="Z13" s="6">
        <f t="shared" si="24"/>
        <v>116.66666666666667</v>
      </c>
      <c r="AA13" s="6">
        <f t="shared" si="25"/>
        <v>117.85714285714286</v>
      </c>
      <c r="AB13" s="6">
        <f t="shared" si="26"/>
        <v>120</v>
      </c>
      <c r="AC13" s="6">
        <f t="shared" si="27"/>
        <v>120.96774193548387</v>
      </c>
      <c r="AD13" s="6">
        <f t="shared" si="28"/>
        <v>121.875</v>
      </c>
      <c r="AE13" s="6">
        <f t="shared" si="29"/>
        <v>123.52941176470588</v>
      </c>
      <c r="AF13" s="6">
        <f t="shared" si="30"/>
        <v>124.28571428571429</v>
      </c>
      <c r="AG13" s="6">
        <f t="shared" si="31"/>
        <v>125</v>
      </c>
      <c r="AH13" s="6">
        <f t="shared" si="32"/>
        <v>126.3157894736842</v>
      </c>
    </row>
    <row r="14" spans="1:34" ht="12.75">
      <c r="A14" s="5">
        <v>165</v>
      </c>
      <c r="B14" s="6">
        <f t="shared" si="0"/>
        <v>53.87755102040816</v>
      </c>
      <c r="C14" s="6">
        <f t="shared" si="1"/>
        <v>58.23529411764706</v>
      </c>
      <c r="D14" s="6">
        <f t="shared" si="2"/>
        <v>62.264150943396224</v>
      </c>
      <c r="E14" s="6">
        <f t="shared" si="3"/>
        <v>66</v>
      </c>
      <c r="F14" s="32">
        <f t="shared" si="4"/>
        <v>69.47368421052632</v>
      </c>
      <c r="G14" s="32">
        <f t="shared" si="5"/>
        <v>71.12068965517241</v>
      </c>
      <c r="H14" s="32">
        <f t="shared" si="6"/>
        <v>72.71186440677967</v>
      </c>
      <c r="I14" s="32">
        <f t="shared" si="7"/>
        <v>75.73770491803279</v>
      </c>
      <c r="J14" s="32">
        <f t="shared" si="8"/>
        <v>78.57142857142857</v>
      </c>
      <c r="K14" s="32">
        <f t="shared" si="9"/>
        <v>82.5</v>
      </c>
      <c r="L14" s="32">
        <f t="shared" si="10"/>
        <v>84.92647058823529</v>
      </c>
      <c r="M14" s="32">
        <f t="shared" si="11"/>
        <v>87.21428571428571</v>
      </c>
      <c r="N14" s="32">
        <f t="shared" si="12"/>
        <v>90.41095890410959</v>
      </c>
      <c r="O14" s="33">
        <f t="shared" si="13"/>
        <v>95.1923076923077</v>
      </c>
      <c r="P14" s="32">
        <f t="shared" si="14"/>
        <v>99.39759036144578</v>
      </c>
      <c r="Q14" s="32">
        <f t="shared" si="15"/>
        <v>103.125</v>
      </c>
      <c r="R14" s="32">
        <f t="shared" si="16"/>
        <v>106.45161290322581</v>
      </c>
      <c r="S14" s="32">
        <f t="shared" si="17"/>
        <v>112.13592233009709</v>
      </c>
      <c r="T14" s="32">
        <f t="shared" si="18"/>
        <v>114.58333333333333</v>
      </c>
      <c r="U14" s="32">
        <f t="shared" si="19"/>
        <v>116.8141592920354</v>
      </c>
      <c r="V14" s="32">
        <f t="shared" si="20"/>
        <v>118.85593220338983</v>
      </c>
      <c r="W14" s="32">
        <f t="shared" si="21"/>
        <v>120.73170731707317</v>
      </c>
      <c r="X14" s="32">
        <f t="shared" si="22"/>
        <v>122.4609375</v>
      </c>
      <c r="Y14" s="6">
        <f t="shared" si="23"/>
        <v>124.06015037593986</v>
      </c>
      <c r="Z14" s="6">
        <f t="shared" si="24"/>
        <v>125.54347826086956</v>
      </c>
      <c r="AA14" s="6">
        <f t="shared" si="25"/>
        <v>126.92307692307692</v>
      </c>
      <c r="AB14" s="6">
        <f t="shared" si="26"/>
        <v>129.41176470588235</v>
      </c>
      <c r="AC14" s="6">
        <f t="shared" si="27"/>
        <v>130.5379746835443</v>
      </c>
      <c r="AD14" s="6">
        <f t="shared" si="28"/>
        <v>131.59509202453987</v>
      </c>
      <c r="AE14" s="6">
        <f t="shared" si="29"/>
        <v>133.52601156069363</v>
      </c>
      <c r="AF14" s="6">
        <f t="shared" si="30"/>
        <v>134.41011235955057</v>
      </c>
      <c r="AG14" s="6">
        <f t="shared" si="31"/>
        <v>135.24590163934425</v>
      </c>
      <c r="AH14" s="6">
        <f t="shared" si="32"/>
        <v>136.78756476683938</v>
      </c>
    </row>
    <row r="15" spans="1:34" ht="12.75">
      <c r="A15" s="5">
        <v>175</v>
      </c>
      <c r="B15" s="6">
        <f t="shared" si="0"/>
        <v>54.90196078431372</v>
      </c>
      <c r="C15" s="6">
        <f t="shared" si="1"/>
        <v>59.43396226415094</v>
      </c>
      <c r="D15" s="6">
        <f t="shared" si="2"/>
        <v>63.63636363636363</v>
      </c>
      <c r="E15" s="6">
        <f t="shared" si="3"/>
        <v>67.54385964912281</v>
      </c>
      <c r="F15" s="32">
        <f t="shared" si="4"/>
        <v>71.1864406779661</v>
      </c>
      <c r="G15" s="32">
        <f t="shared" si="5"/>
        <v>72.91666666666667</v>
      </c>
      <c r="H15" s="32">
        <f t="shared" si="6"/>
        <v>74.59016393442623</v>
      </c>
      <c r="I15" s="32">
        <f t="shared" si="7"/>
        <v>77.77777777777777</v>
      </c>
      <c r="J15" s="32">
        <f t="shared" si="8"/>
        <v>80.76923076923077</v>
      </c>
      <c r="K15" s="32">
        <f t="shared" si="9"/>
        <v>84.92647058823529</v>
      </c>
      <c r="L15" s="32">
        <f t="shared" si="10"/>
        <v>87.5</v>
      </c>
      <c r="M15" s="32">
        <f t="shared" si="11"/>
        <v>89.93055555555556</v>
      </c>
      <c r="N15" s="32">
        <f t="shared" si="12"/>
        <v>93.33333333333333</v>
      </c>
      <c r="O15" s="33">
        <f t="shared" si="13"/>
        <v>98.4375</v>
      </c>
      <c r="P15" s="32">
        <f t="shared" si="14"/>
        <v>102.94117647058823</v>
      </c>
      <c r="Q15" s="32">
        <f t="shared" si="15"/>
        <v>106.94444444444444</v>
      </c>
      <c r="R15" s="32">
        <f t="shared" si="16"/>
        <v>110.52631578947368</v>
      </c>
      <c r="S15" s="32">
        <f t="shared" si="17"/>
        <v>116.66666666666667</v>
      </c>
      <c r="T15" s="32">
        <f t="shared" si="18"/>
        <v>119.31818181818181</v>
      </c>
      <c r="U15" s="32">
        <f t="shared" si="19"/>
        <v>121.73913043478261</v>
      </c>
      <c r="V15" s="32">
        <f t="shared" si="20"/>
        <v>123.95833333333333</v>
      </c>
      <c r="W15" s="32">
        <f t="shared" si="21"/>
        <v>126</v>
      </c>
      <c r="X15" s="32">
        <f t="shared" si="22"/>
        <v>127.88461538461539</v>
      </c>
      <c r="Y15" s="6">
        <f t="shared" si="23"/>
        <v>129.62962962962962</v>
      </c>
      <c r="Z15" s="6">
        <f t="shared" si="24"/>
        <v>131.25</v>
      </c>
      <c r="AA15" s="6">
        <f t="shared" si="25"/>
        <v>132.75862068965517</v>
      </c>
      <c r="AB15" s="6">
        <f t="shared" si="26"/>
        <v>135.48387096774192</v>
      </c>
      <c r="AC15" s="6">
        <f t="shared" si="27"/>
        <v>136.71875</v>
      </c>
      <c r="AD15" s="6">
        <f t="shared" si="28"/>
        <v>137.87878787878788</v>
      </c>
      <c r="AE15" s="6">
        <f t="shared" si="29"/>
        <v>140</v>
      </c>
      <c r="AF15" s="6">
        <f t="shared" si="30"/>
        <v>140.97222222222223</v>
      </c>
      <c r="AG15" s="6">
        <f t="shared" si="31"/>
        <v>141.8918918918919</v>
      </c>
      <c r="AH15" s="6">
        <f t="shared" si="32"/>
        <v>143.5897435897436</v>
      </c>
    </row>
    <row r="16" spans="1:34" ht="12.75">
      <c r="A16" s="5">
        <v>185</v>
      </c>
      <c r="B16" s="6">
        <f t="shared" si="0"/>
        <v>55.84905660377358</v>
      </c>
      <c r="C16" s="6">
        <f t="shared" si="1"/>
        <v>60.54545454545455</v>
      </c>
      <c r="D16" s="6">
        <f t="shared" si="2"/>
        <v>64.91228070175438</v>
      </c>
      <c r="E16" s="6">
        <f t="shared" si="3"/>
        <v>68.98305084745763</v>
      </c>
      <c r="F16" s="32">
        <f t="shared" si="4"/>
        <v>72.78688524590164</v>
      </c>
      <c r="G16" s="32">
        <f t="shared" si="5"/>
        <v>74.59677419354838</v>
      </c>
      <c r="H16" s="32">
        <f t="shared" si="6"/>
        <v>76.34920634920636</v>
      </c>
      <c r="I16" s="32">
        <f t="shared" si="7"/>
        <v>79.6923076923077</v>
      </c>
      <c r="J16" s="32">
        <f t="shared" si="8"/>
        <v>82.83582089552239</v>
      </c>
      <c r="K16" s="32">
        <f t="shared" si="9"/>
        <v>87.21428571428571</v>
      </c>
      <c r="L16" s="32">
        <f t="shared" si="10"/>
        <v>89.93055555555556</v>
      </c>
      <c r="M16" s="32">
        <f t="shared" si="11"/>
        <v>92.5</v>
      </c>
      <c r="N16" s="32">
        <f t="shared" si="12"/>
        <v>96.1038961038961</v>
      </c>
      <c r="O16" s="33">
        <f t="shared" si="13"/>
        <v>101.52439024390245</v>
      </c>
      <c r="P16" s="32">
        <f t="shared" si="14"/>
        <v>106.32183908045977</v>
      </c>
      <c r="Q16" s="32">
        <f t="shared" si="15"/>
        <v>110.59782608695652</v>
      </c>
      <c r="R16" s="32">
        <f t="shared" si="16"/>
        <v>114.43298969072166</v>
      </c>
      <c r="S16" s="32">
        <f t="shared" si="17"/>
        <v>121.02803738317758</v>
      </c>
      <c r="T16" s="32">
        <f t="shared" si="18"/>
        <v>123.88392857142857</v>
      </c>
      <c r="U16" s="32">
        <f t="shared" si="19"/>
        <v>126.4957264957265</v>
      </c>
      <c r="V16" s="32">
        <f t="shared" si="20"/>
        <v>128.89344262295083</v>
      </c>
      <c r="W16" s="32">
        <f t="shared" si="21"/>
        <v>131.10236220472441</v>
      </c>
      <c r="X16" s="32">
        <f t="shared" si="22"/>
        <v>133.1439393939394</v>
      </c>
      <c r="Y16" s="6">
        <f t="shared" si="23"/>
        <v>135.03649635036496</v>
      </c>
      <c r="Z16" s="6">
        <f t="shared" si="24"/>
        <v>136.79577464788733</v>
      </c>
      <c r="AA16" s="6">
        <f t="shared" si="25"/>
        <v>138.43537414965985</v>
      </c>
      <c r="AB16" s="6">
        <f t="shared" si="26"/>
        <v>141.40127388535032</v>
      </c>
      <c r="AC16" s="6">
        <f t="shared" si="27"/>
        <v>142.7469135802469</v>
      </c>
      <c r="AD16" s="6">
        <f t="shared" si="28"/>
        <v>144.0119760479042</v>
      </c>
      <c r="AE16" s="6">
        <f t="shared" si="29"/>
        <v>146.3276836158192</v>
      </c>
      <c r="AF16" s="6">
        <f t="shared" si="30"/>
        <v>147.3901098901099</v>
      </c>
      <c r="AG16" s="6">
        <f t="shared" si="31"/>
        <v>148.3957219251337</v>
      </c>
      <c r="AH16" s="6">
        <f t="shared" si="32"/>
        <v>150.253807106599</v>
      </c>
    </row>
    <row r="17" spans="1:34" ht="12.75">
      <c r="A17" s="5">
        <v>200</v>
      </c>
      <c r="B17" s="6">
        <f t="shared" si="0"/>
        <v>57.142857142857146</v>
      </c>
      <c r="C17" s="6">
        <f t="shared" si="1"/>
        <v>62.06896551724138</v>
      </c>
      <c r="D17" s="6">
        <f t="shared" si="2"/>
        <v>66.66666666666667</v>
      </c>
      <c r="E17" s="6">
        <f t="shared" si="3"/>
        <v>70.96774193548387</v>
      </c>
      <c r="F17" s="32">
        <f t="shared" si="4"/>
        <v>75</v>
      </c>
      <c r="G17" s="32">
        <f t="shared" si="5"/>
        <v>76.92307692307692</v>
      </c>
      <c r="H17" s="32">
        <f t="shared" si="6"/>
        <v>78.78787878787878</v>
      </c>
      <c r="I17" s="32">
        <f t="shared" si="7"/>
        <v>82.3529411764706</v>
      </c>
      <c r="J17" s="32">
        <f t="shared" si="8"/>
        <v>85.71428571428571</v>
      </c>
      <c r="K17" s="32">
        <f t="shared" si="9"/>
        <v>90.41095890410959</v>
      </c>
      <c r="L17" s="32">
        <f t="shared" si="10"/>
        <v>93.33333333333333</v>
      </c>
      <c r="M17" s="32">
        <f t="shared" si="11"/>
        <v>96.1038961038961</v>
      </c>
      <c r="N17" s="32">
        <f t="shared" si="12"/>
        <v>100</v>
      </c>
      <c r="O17" s="33">
        <f t="shared" si="13"/>
        <v>105.88235294117646</v>
      </c>
      <c r="P17" s="32">
        <f t="shared" si="14"/>
        <v>111.11111111111111</v>
      </c>
      <c r="Q17" s="32">
        <f t="shared" si="15"/>
        <v>115.78947368421052</v>
      </c>
      <c r="R17" s="32">
        <f t="shared" si="16"/>
        <v>120</v>
      </c>
      <c r="S17" s="32">
        <f t="shared" si="17"/>
        <v>127.27272727272727</v>
      </c>
      <c r="T17" s="32">
        <f t="shared" si="18"/>
        <v>130.43478260869566</v>
      </c>
      <c r="U17" s="32">
        <f t="shared" si="19"/>
        <v>133.33333333333334</v>
      </c>
      <c r="V17" s="32">
        <f t="shared" si="20"/>
        <v>136</v>
      </c>
      <c r="W17" s="32">
        <f t="shared" si="21"/>
        <v>138.46153846153845</v>
      </c>
      <c r="X17" s="32">
        <f t="shared" si="22"/>
        <v>140.74074074074073</v>
      </c>
      <c r="Y17" s="6">
        <f t="shared" si="23"/>
        <v>142.85714285714286</v>
      </c>
      <c r="Z17" s="6">
        <f t="shared" si="24"/>
        <v>144.82758620689654</v>
      </c>
      <c r="AA17" s="6">
        <f t="shared" si="25"/>
        <v>146.66666666666666</v>
      </c>
      <c r="AB17" s="6">
        <f t="shared" si="26"/>
        <v>150</v>
      </c>
      <c r="AC17" s="6">
        <f t="shared" si="27"/>
        <v>151.5151515151515</v>
      </c>
      <c r="AD17" s="6">
        <f t="shared" si="28"/>
        <v>152.94117647058823</v>
      </c>
      <c r="AE17" s="6">
        <f t="shared" si="29"/>
        <v>155.55555555555554</v>
      </c>
      <c r="AF17" s="6">
        <f t="shared" si="30"/>
        <v>156.75675675675674</v>
      </c>
      <c r="AG17" s="6">
        <f t="shared" si="31"/>
        <v>157.89473684210526</v>
      </c>
      <c r="AH17" s="6">
        <f t="shared" si="32"/>
        <v>160</v>
      </c>
    </row>
    <row r="18" spans="1:34" ht="12.75">
      <c r="A18" s="5">
        <v>225</v>
      </c>
      <c r="B18" s="6">
        <f t="shared" si="0"/>
        <v>59.01639344262295</v>
      </c>
      <c r="C18" s="6">
        <f t="shared" si="1"/>
        <v>64.28571428571429</v>
      </c>
      <c r="D18" s="6">
        <f t="shared" si="2"/>
        <v>69.23076923076923</v>
      </c>
      <c r="E18" s="6">
        <f t="shared" si="3"/>
        <v>73.88059701492537</v>
      </c>
      <c r="F18" s="32">
        <f t="shared" si="4"/>
        <v>78.26086956521739</v>
      </c>
      <c r="G18" s="32">
        <f t="shared" si="5"/>
        <v>80.35714285714286</v>
      </c>
      <c r="H18" s="32">
        <f t="shared" si="6"/>
        <v>82.3943661971831</v>
      </c>
      <c r="I18" s="32">
        <f t="shared" si="7"/>
        <v>86.3013698630137</v>
      </c>
      <c r="J18" s="32">
        <f t="shared" si="8"/>
        <v>90</v>
      </c>
      <c r="K18" s="32">
        <f t="shared" si="9"/>
        <v>95.1923076923077</v>
      </c>
      <c r="L18" s="32">
        <f t="shared" si="10"/>
        <v>98.4375</v>
      </c>
      <c r="M18" s="32">
        <f t="shared" si="11"/>
        <v>101.52439024390245</v>
      </c>
      <c r="N18" s="32">
        <f t="shared" si="12"/>
        <v>105.88235294117646</v>
      </c>
      <c r="O18" s="33">
        <f t="shared" si="13"/>
        <v>112.5</v>
      </c>
      <c r="P18" s="32">
        <f t="shared" si="14"/>
        <v>118.42105263157895</v>
      </c>
      <c r="Q18" s="32">
        <f t="shared" si="15"/>
        <v>123.75</v>
      </c>
      <c r="R18" s="32">
        <f t="shared" si="16"/>
        <v>128.57142857142858</v>
      </c>
      <c r="S18" s="32">
        <f t="shared" si="17"/>
        <v>136.95652173913044</v>
      </c>
      <c r="T18" s="32">
        <f t="shared" si="18"/>
        <v>140.625</v>
      </c>
      <c r="U18" s="32">
        <f t="shared" si="19"/>
        <v>144</v>
      </c>
      <c r="V18" s="32">
        <f t="shared" si="20"/>
        <v>147.1153846153846</v>
      </c>
      <c r="W18" s="32">
        <f t="shared" si="21"/>
        <v>150</v>
      </c>
      <c r="X18" s="32">
        <f t="shared" si="22"/>
        <v>152.67857142857142</v>
      </c>
      <c r="Y18" s="6">
        <f t="shared" si="23"/>
        <v>155.17241379310346</v>
      </c>
      <c r="Z18" s="6">
        <f t="shared" si="24"/>
        <v>157.5</v>
      </c>
      <c r="AA18" s="6">
        <f t="shared" si="25"/>
        <v>159.67741935483872</v>
      </c>
      <c r="AB18" s="6">
        <f t="shared" si="26"/>
        <v>163.63636363636363</v>
      </c>
      <c r="AC18" s="6">
        <f t="shared" si="27"/>
        <v>165.44117647058823</v>
      </c>
      <c r="AD18" s="6">
        <f t="shared" si="28"/>
        <v>167.14285714285714</v>
      </c>
      <c r="AE18" s="6">
        <f t="shared" si="29"/>
        <v>170.27027027027026</v>
      </c>
      <c r="AF18" s="6">
        <f t="shared" si="30"/>
        <v>171.71052631578948</v>
      </c>
      <c r="AG18" s="6">
        <f t="shared" si="31"/>
        <v>173.07692307692307</v>
      </c>
      <c r="AH18" s="6">
        <f t="shared" si="32"/>
        <v>175.609756097561</v>
      </c>
    </row>
    <row r="19" spans="1:34" s="4" customFormat="1" ht="12.75">
      <c r="A19" s="3">
        <v>250</v>
      </c>
      <c r="B19" s="4">
        <f t="shared" si="0"/>
        <v>60.60606060606061</v>
      </c>
      <c r="C19" s="4">
        <f t="shared" si="1"/>
        <v>66.17647058823529</v>
      </c>
      <c r="D19" s="4">
        <f t="shared" si="2"/>
        <v>71.42857142857143</v>
      </c>
      <c r="E19" s="4">
        <f t="shared" si="3"/>
        <v>76.38888888888889</v>
      </c>
      <c r="F19" s="33">
        <f t="shared" si="4"/>
        <v>81.08108108108108</v>
      </c>
      <c r="G19" s="33">
        <f t="shared" si="5"/>
        <v>83.33333333333333</v>
      </c>
      <c r="H19" s="33">
        <f t="shared" si="6"/>
        <v>85.52631578947368</v>
      </c>
      <c r="I19" s="33">
        <f t="shared" si="7"/>
        <v>89.74358974358974</v>
      </c>
      <c r="J19" s="33">
        <f t="shared" si="8"/>
        <v>93.75</v>
      </c>
      <c r="K19" s="33">
        <f t="shared" si="9"/>
        <v>99.39759036144578</v>
      </c>
      <c r="L19" s="33">
        <f t="shared" si="10"/>
        <v>102.94117647058823</v>
      </c>
      <c r="M19" s="33">
        <f t="shared" si="11"/>
        <v>106.32183908045977</v>
      </c>
      <c r="N19" s="33">
        <f t="shared" si="12"/>
        <v>111.11111111111111</v>
      </c>
      <c r="O19" s="33">
        <f t="shared" si="13"/>
        <v>118.42105263157895</v>
      </c>
      <c r="P19" s="33">
        <f t="shared" si="14"/>
        <v>125</v>
      </c>
      <c r="Q19" s="33">
        <f t="shared" si="15"/>
        <v>130.95238095238096</v>
      </c>
      <c r="R19" s="33">
        <f t="shared" si="16"/>
        <v>136.36363636363637</v>
      </c>
      <c r="S19" s="33">
        <f t="shared" si="17"/>
        <v>145.83333333333334</v>
      </c>
      <c r="T19" s="33">
        <f t="shared" si="18"/>
        <v>150</v>
      </c>
      <c r="U19" s="33">
        <f t="shared" si="19"/>
        <v>153.84615384615384</v>
      </c>
      <c r="V19" s="33">
        <f t="shared" si="20"/>
        <v>157.40740740740742</v>
      </c>
      <c r="W19" s="33">
        <f t="shared" si="21"/>
        <v>160.71428571428572</v>
      </c>
      <c r="X19" s="33">
        <f t="shared" si="22"/>
        <v>163.79310344827587</v>
      </c>
      <c r="Y19" s="4">
        <f t="shared" si="23"/>
        <v>166.66666666666666</v>
      </c>
      <c r="Z19" s="4">
        <f t="shared" si="24"/>
        <v>169.3548387096774</v>
      </c>
      <c r="AA19" s="4">
        <f t="shared" si="25"/>
        <v>171.875</v>
      </c>
      <c r="AB19" s="4">
        <f t="shared" si="26"/>
        <v>176.47058823529412</v>
      </c>
      <c r="AC19" s="4">
        <f t="shared" si="27"/>
        <v>178.57142857142858</v>
      </c>
      <c r="AD19" s="4">
        <f t="shared" si="28"/>
        <v>180.55555555555554</v>
      </c>
      <c r="AE19" s="4">
        <f t="shared" si="29"/>
        <v>184.21052631578948</v>
      </c>
      <c r="AF19" s="4">
        <f t="shared" si="30"/>
        <v>185.89743589743588</v>
      </c>
      <c r="AG19" s="4">
        <f t="shared" si="31"/>
        <v>187.5</v>
      </c>
      <c r="AH19" s="4">
        <f t="shared" si="32"/>
        <v>190.47619047619048</v>
      </c>
    </row>
    <row r="20" spans="1:34" ht="12.75">
      <c r="A20" s="5">
        <v>275</v>
      </c>
      <c r="B20" s="6">
        <f t="shared" si="0"/>
        <v>61.971830985915496</v>
      </c>
      <c r="C20" s="6">
        <f t="shared" si="1"/>
        <v>67.8082191780822</v>
      </c>
      <c r="D20" s="6">
        <f t="shared" si="2"/>
        <v>73.33333333333333</v>
      </c>
      <c r="E20" s="6">
        <f t="shared" si="3"/>
        <v>78.57142857142857</v>
      </c>
      <c r="F20" s="32">
        <f t="shared" si="4"/>
        <v>83.54430379746836</v>
      </c>
      <c r="G20" s="32">
        <f t="shared" si="5"/>
        <v>85.9375</v>
      </c>
      <c r="H20" s="32">
        <f t="shared" si="6"/>
        <v>88.27160493827161</v>
      </c>
      <c r="I20" s="32">
        <f t="shared" si="7"/>
        <v>92.7710843373494</v>
      </c>
      <c r="J20" s="32">
        <f t="shared" si="8"/>
        <v>97.05882352941177</v>
      </c>
      <c r="K20" s="32">
        <f t="shared" si="9"/>
        <v>103.125</v>
      </c>
      <c r="L20" s="32">
        <f t="shared" si="10"/>
        <v>106.94444444444444</v>
      </c>
      <c r="M20" s="32">
        <f t="shared" si="11"/>
        <v>110.59782608695652</v>
      </c>
      <c r="N20" s="32">
        <f t="shared" si="12"/>
        <v>115.78947368421052</v>
      </c>
      <c r="O20" s="33">
        <f t="shared" si="13"/>
        <v>123.75</v>
      </c>
      <c r="P20" s="32">
        <f t="shared" si="14"/>
        <v>130.95238095238096</v>
      </c>
      <c r="Q20" s="32">
        <f t="shared" si="15"/>
        <v>137.5</v>
      </c>
      <c r="R20" s="32">
        <f t="shared" si="16"/>
        <v>143.47826086956522</v>
      </c>
      <c r="S20" s="32">
        <f t="shared" si="17"/>
        <v>154</v>
      </c>
      <c r="T20" s="32">
        <f t="shared" si="18"/>
        <v>158.65384615384616</v>
      </c>
      <c r="U20" s="32">
        <f t="shared" si="19"/>
        <v>162.96296296296296</v>
      </c>
      <c r="V20" s="32">
        <f t="shared" si="20"/>
        <v>166.96428571428572</v>
      </c>
      <c r="W20" s="32">
        <f t="shared" si="21"/>
        <v>170.68965517241378</v>
      </c>
      <c r="X20" s="32">
        <f t="shared" si="22"/>
        <v>174.16666666666666</v>
      </c>
      <c r="Y20" s="6">
        <f t="shared" si="23"/>
        <v>177.41935483870967</v>
      </c>
      <c r="Z20" s="6">
        <f t="shared" si="24"/>
        <v>180.46875</v>
      </c>
      <c r="AA20" s="6">
        <f t="shared" si="25"/>
        <v>183.33333333333334</v>
      </c>
      <c r="AB20" s="6">
        <f t="shared" si="26"/>
        <v>188.57142857142858</v>
      </c>
      <c r="AC20" s="6">
        <f t="shared" si="27"/>
        <v>190.97222222222223</v>
      </c>
      <c r="AD20" s="6">
        <f t="shared" si="28"/>
        <v>193.24324324324326</v>
      </c>
      <c r="AE20" s="6">
        <f t="shared" si="29"/>
        <v>197.43589743589743</v>
      </c>
      <c r="AF20" s="6">
        <f t="shared" si="30"/>
        <v>199.375</v>
      </c>
      <c r="AG20" s="6">
        <f t="shared" si="31"/>
        <v>201.21951219512195</v>
      </c>
      <c r="AH20" s="6">
        <f t="shared" si="32"/>
        <v>204.65116279069767</v>
      </c>
    </row>
    <row r="21" spans="1:34" ht="12.75">
      <c r="A21" s="5">
        <v>300</v>
      </c>
      <c r="B21" s="6">
        <f t="shared" si="0"/>
        <v>63.1578947368421</v>
      </c>
      <c r="C21" s="6">
        <f t="shared" si="1"/>
        <v>69.23076923076923</v>
      </c>
      <c r="D21" s="6">
        <f t="shared" si="2"/>
        <v>75</v>
      </c>
      <c r="E21" s="6">
        <f t="shared" si="3"/>
        <v>80.48780487804878</v>
      </c>
      <c r="F21" s="32">
        <f t="shared" si="4"/>
        <v>85.71428571428571</v>
      </c>
      <c r="G21" s="32">
        <f t="shared" si="5"/>
        <v>88.23529411764706</v>
      </c>
      <c r="H21" s="32">
        <f t="shared" si="6"/>
        <v>90.69767441860465</v>
      </c>
      <c r="I21" s="32">
        <f t="shared" si="7"/>
        <v>95.45454545454545</v>
      </c>
      <c r="J21" s="32">
        <f t="shared" si="8"/>
        <v>100</v>
      </c>
      <c r="K21" s="32">
        <f t="shared" si="9"/>
        <v>106.45161290322581</v>
      </c>
      <c r="L21" s="32">
        <f t="shared" si="10"/>
        <v>110.52631578947368</v>
      </c>
      <c r="M21" s="32">
        <f t="shared" si="11"/>
        <v>114.43298969072166</v>
      </c>
      <c r="N21" s="32">
        <f t="shared" si="12"/>
        <v>120</v>
      </c>
      <c r="O21" s="33">
        <f t="shared" si="13"/>
        <v>128.57142857142858</v>
      </c>
      <c r="P21" s="32">
        <f t="shared" si="14"/>
        <v>136.36363636363637</v>
      </c>
      <c r="Q21" s="32">
        <f t="shared" si="15"/>
        <v>143.47826086956522</v>
      </c>
      <c r="R21" s="32">
        <f t="shared" si="16"/>
        <v>150</v>
      </c>
      <c r="S21" s="32">
        <f t="shared" si="17"/>
        <v>161.53846153846155</v>
      </c>
      <c r="T21" s="32">
        <f t="shared" si="18"/>
        <v>166.66666666666666</v>
      </c>
      <c r="U21" s="32">
        <f t="shared" si="19"/>
        <v>171.42857142857142</v>
      </c>
      <c r="V21" s="32">
        <f t="shared" si="20"/>
        <v>175.86206896551724</v>
      </c>
      <c r="W21" s="32">
        <f t="shared" si="21"/>
        <v>180</v>
      </c>
      <c r="X21" s="32">
        <f t="shared" si="22"/>
        <v>183.8709677419355</v>
      </c>
      <c r="Y21" s="6">
        <f t="shared" si="23"/>
        <v>187.5</v>
      </c>
      <c r="Z21" s="6">
        <f t="shared" si="24"/>
        <v>190.9090909090909</v>
      </c>
      <c r="AA21" s="6">
        <f t="shared" si="25"/>
        <v>194.11764705882354</v>
      </c>
      <c r="AB21" s="6">
        <f t="shared" si="26"/>
        <v>200</v>
      </c>
      <c r="AC21" s="6">
        <f t="shared" si="27"/>
        <v>202.7027027027027</v>
      </c>
      <c r="AD21" s="6">
        <f t="shared" si="28"/>
        <v>205.26315789473685</v>
      </c>
      <c r="AE21" s="6">
        <f t="shared" si="29"/>
        <v>210</v>
      </c>
      <c r="AF21" s="6">
        <f t="shared" si="30"/>
        <v>212.1951219512195</v>
      </c>
      <c r="AG21" s="6">
        <f t="shared" si="31"/>
        <v>214.28571428571428</v>
      </c>
      <c r="AH21" s="6">
        <f t="shared" si="32"/>
        <v>218.1818181818182</v>
      </c>
    </row>
    <row r="22" spans="1:34" ht="12.75">
      <c r="A22" s="5">
        <v>350</v>
      </c>
      <c r="B22" s="6">
        <f t="shared" si="0"/>
        <v>65.11627906976744</v>
      </c>
      <c r="C22" s="6">
        <f t="shared" si="1"/>
        <v>71.5909090909091</v>
      </c>
      <c r="D22" s="6">
        <f t="shared" si="2"/>
        <v>77.77777777777777</v>
      </c>
      <c r="E22" s="6">
        <f t="shared" si="3"/>
        <v>83.69565217391305</v>
      </c>
      <c r="F22" s="32">
        <f t="shared" si="4"/>
        <v>89.36170212765957</v>
      </c>
      <c r="G22" s="32">
        <f t="shared" si="5"/>
        <v>92.10526315789474</v>
      </c>
      <c r="H22" s="32">
        <f t="shared" si="6"/>
        <v>94.79166666666667</v>
      </c>
      <c r="I22" s="32">
        <f t="shared" si="7"/>
        <v>100</v>
      </c>
      <c r="J22" s="32">
        <f t="shared" si="8"/>
        <v>105</v>
      </c>
      <c r="K22" s="32">
        <f t="shared" si="9"/>
        <v>112.13592233009709</v>
      </c>
      <c r="L22" s="32">
        <f t="shared" si="10"/>
        <v>116.66666666666667</v>
      </c>
      <c r="M22" s="32">
        <f t="shared" si="11"/>
        <v>121.02803738317758</v>
      </c>
      <c r="N22" s="32">
        <f t="shared" si="12"/>
        <v>127.27272727272727</v>
      </c>
      <c r="O22" s="33">
        <f t="shared" si="13"/>
        <v>136.95652173913044</v>
      </c>
      <c r="P22" s="32">
        <f t="shared" si="14"/>
        <v>145.83333333333334</v>
      </c>
      <c r="Q22" s="32">
        <f t="shared" si="15"/>
        <v>154</v>
      </c>
      <c r="R22" s="32">
        <f t="shared" si="16"/>
        <v>161.53846153846155</v>
      </c>
      <c r="S22" s="32">
        <f t="shared" si="17"/>
        <v>175</v>
      </c>
      <c r="T22" s="32">
        <f t="shared" si="18"/>
        <v>181.0344827586207</v>
      </c>
      <c r="U22" s="32">
        <f t="shared" si="19"/>
        <v>186.66666666666666</v>
      </c>
      <c r="V22" s="32">
        <f t="shared" si="20"/>
        <v>191.93548387096774</v>
      </c>
      <c r="W22" s="32">
        <f t="shared" si="21"/>
        <v>196.875</v>
      </c>
      <c r="X22" s="32">
        <f t="shared" si="22"/>
        <v>201.5151515151515</v>
      </c>
      <c r="Y22" s="6">
        <f t="shared" si="23"/>
        <v>205.88235294117646</v>
      </c>
      <c r="Z22" s="6">
        <f t="shared" si="24"/>
        <v>210</v>
      </c>
      <c r="AA22" s="6">
        <f t="shared" si="25"/>
        <v>213.88888888888889</v>
      </c>
      <c r="AB22" s="6">
        <f t="shared" si="26"/>
        <v>221.05263157894737</v>
      </c>
      <c r="AC22" s="6">
        <f t="shared" si="27"/>
        <v>224.35897435897436</v>
      </c>
      <c r="AD22" s="6">
        <f t="shared" si="28"/>
        <v>227.5</v>
      </c>
      <c r="AE22" s="6">
        <f t="shared" si="29"/>
        <v>233.33333333333334</v>
      </c>
      <c r="AF22" s="6">
        <f t="shared" si="30"/>
        <v>236.04651162790697</v>
      </c>
      <c r="AG22" s="6">
        <f t="shared" si="31"/>
        <v>238.63636363636363</v>
      </c>
      <c r="AH22" s="6">
        <f t="shared" si="32"/>
        <v>243.47826086956522</v>
      </c>
    </row>
    <row r="23" spans="1:34" ht="12.75">
      <c r="A23" s="5">
        <v>375</v>
      </c>
      <c r="B23" s="6">
        <f t="shared" si="0"/>
        <v>65.93406593406593</v>
      </c>
      <c r="C23" s="6">
        <f t="shared" si="1"/>
        <v>72.58064516129032</v>
      </c>
      <c r="D23" s="6">
        <f t="shared" si="2"/>
        <v>78.94736842105263</v>
      </c>
      <c r="E23" s="6">
        <f t="shared" si="3"/>
        <v>85.05154639175258</v>
      </c>
      <c r="F23" s="32">
        <f t="shared" si="4"/>
        <v>90.9090909090909</v>
      </c>
      <c r="G23" s="32">
        <f t="shared" si="5"/>
        <v>93.75</v>
      </c>
      <c r="H23" s="32">
        <f t="shared" si="6"/>
        <v>96.53465346534654</v>
      </c>
      <c r="I23" s="32">
        <f t="shared" si="7"/>
        <v>101.94174757281553</v>
      </c>
      <c r="J23" s="32">
        <f t="shared" si="8"/>
        <v>107.14285714285714</v>
      </c>
      <c r="K23" s="32">
        <f t="shared" si="9"/>
        <v>114.58333333333333</v>
      </c>
      <c r="L23" s="32">
        <f t="shared" si="10"/>
        <v>119.31818181818181</v>
      </c>
      <c r="M23" s="32">
        <f t="shared" si="11"/>
        <v>123.88392857142857</v>
      </c>
      <c r="N23" s="32">
        <f t="shared" si="12"/>
        <v>130.43478260869566</v>
      </c>
      <c r="O23" s="33">
        <f t="shared" si="13"/>
        <v>140.625</v>
      </c>
      <c r="P23" s="32">
        <f t="shared" si="14"/>
        <v>150</v>
      </c>
      <c r="Q23" s="32">
        <f t="shared" si="15"/>
        <v>158.65384615384616</v>
      </c>
      <c r="R23" s="32">
        <f t="shared" si="16"/>
        <v>166.66666666666666</v>
      </c>
      <c r="S23" s="32">
        <f t="shared" si="17"/>
        <v>181.0344827586207</v>
      </c>
      <c r="T23" s="32">
        <f t="shared" si="18"/>
        <v>187.5</v>
      </c>
      <c r="U23" s="32">
        <f t="shared" si="19"/>
        <v>193.5483870967742</v>
      </c>
      <c r="V23" s="32">
        <f t="shared" si="20"/>
        <v>199.21875</v>
      </c>
      <c r="W23" s="32">
        <f t="shared" si="21"/>
        <v>204.54545454545453</v>
      </c>
      <c r="X23" s="32">
        <f t="shared" si="22"/>
        <v>209.55882352941177</v>
      </c>
      <c r="Y23" s="6">
        <f t="shared" si="23"/>
        <v>214.28571428571428</v>
      </c>
      <c r="Z23" s="6">
        <f t="shared" si="24"/>
        <v>218.75</v>
      </c>
      <c r="AA23" s="6">
        <f t="shared" si="25"/>
        <v>222.97297297297297</v>
      </c>
      <c r="AB23" s="6">
        <f t="shared" si="26"/>
        <v>230.76923076923077</v>
      </c>
      <c r="AC23" s="6">
        <f t="shared" si="27"/>
        <v>234.375</v>
      </c>
      <c r="AD23" s="6">
        <f t="shared" si="28"/>
        <v>237.8048780487805</v>
      </c>
      <c r="AE23" s="6">
        <f t="shared" si="29"/>
        <v>244.1860465116279</v>
      </c>
      <c r="AF23" s="6">
        <f t="shared" si="30"/>
        <v>247.1590909090909</v>
      </c>
      <c r="AG23" s="6">
        <f t="shared" si="31"/>
        <v>250</v>
      </c>
      <c r="AH23" s="6">
        <f t="shared" si="32"/>
        <v>255.31914893617022</v>
      </c>
    </row>
    <row r="24" spans="1:34" ht="12.75">
      <c r="A24" s="5">
        <v>400</v>
      </c>
      <c r="B24" s="6">
        <f t="shared" si="0"/>
        <v>66.66666666666667</v>
      </c>
      <c r="C24" s="6">
        <f t="shared" si="1"/>
        <v>73.46938775510205</v>
      </c>
      <c r="D24" s="6">
        <f t="shared" si="2"/>
        <v>80</v>
      </c>
      <c r="E24" s="6">
        <f t="shared" si="3"/>
        <v>86.27450980392157</v>
      </c>
      <c r="F24" s="6">
        <f t="shared" si="4"/>
        <v>92.3076923076923</v>
      </c>
      <c r="G24" s="6">
        <f t="shared" si="5"/>
        <v>95.23809523809524</v>
      </c>
      <c r="H24" s="6">
        <f t="shared" si="6"/>
        <v>98.11320754716981</v>
      </c>
      <c r="I24" s="6">
        <f t="shared" si="7"/>
        <v>103.70370370370371</v>
      </c>
      <c r="J24" s="6">
        <f t="shared" si="8"/>
        <v>109.0909090909091</v>
      </c>
      <c r="K24" s="6">
        <f t="shared" si="9"/>
        <v>116.8141592920354</v>
      </c>
      <c r="L24" s="6">
        <f t="shared" si="10"/>
        <v>121.73913043478261</v>
      </c>
      <c r="M24" s="6">
        <f t="shared" si="11"/>
        <v>126.4957264957265</v>
      </c>
      <c r="N24" s="6">
        <f t="shared" si="12"/>
        <v>133.33333333333334</v>
      </c>
      <c r="O24" s="4">
        <f t="shared" si="13"/>
        <v>144</v>
      </c>
      <c r="P24" s="6">
        <f t="shared" si="14"/>
        <v>153.84615384615384</v>
      </c>
      <c r="Q24" s="6">
        <f t="shared" si="15"/>
        <v>162.96296296296296</v>
      </c>
      <c r="R24" s="6">
        <f t="shared" si="16"/>
        <v>171.42857142857142</v>
      </c>
      <c r="S24" s="6">
        <f t="shared" si="17"/>
        <v>186.66666666666666</v>
      </c>
      <c r="T24" s="6">
        <f t="shared" si="18"/>
        <v>193.5483870967742</v>
      </c>
      <c r="U24" s="6">
        <f t="shared" si="19"/>
        <v>200</v>
      </c>
      <c r="V24" s="6">
        <f t="shared" si="20"/>
        <v>206.06060606060606</v>
      </c>
      <c r="W24" s="6">
        <f t="shared" si="21"/>
        <v>211.76470588235293</v>
      </c>
      <c r="X24" s="6">
        <f t="shared" si="22"/>
        <v>217.14285714285714</v>
      </c>
      <c r="Y24" s="6">
        <f t="shared" si="23"/>
        <v>222.22222222222223</v>
      </c>
      <c r="Z24" s="6">
        <f t="shared" si="24"/>
        <v>227.02702702702703</v>
      </c>
      <c r="AA24" s="6">
        <f t="shared" si="25"/>
        <v>231.57894736842104</v>
      </c>
      <c r="AB24" s="6">
        <f t="shared" si="26"/>
        <v>240</v>
      </c>
      <c r="AC24" s="6">
        <f t="shared" si="27"/>
        <v>243.90243902439025</v>
      </c>
      <c r="AD24" s="6">
        <f t="shared" si="28"/>
        <v>247.61904761904762</v>
      </c>
      <c r="AE24" s="6">
        <f t="shared" si="29"/>
        <v>254.54545454545453</v>
      </c>
      <c r="AF24" s="6">
        <f t="shared" si="30"/>
        <v>257.77777777777777</v>
      </c>
      <c r="AG24" s="6">
        <f t="shared" si="31"/>
        <v>260.8695652173913</v>
      </c>
      <c r="AH24" s="6">
        <f t="shared" si="32"/>
        <v>266.6666666666667</v>
      </c>
    </row>
    <row r="25" spans="1:34" ht="12.75">
      <c r="A25" s="5">
        <v>425</v>
      </c>
      <c r="B25" s="6">
        <f t="shared" si="0"/>
        <v>67.32673267326733</v>
      </c>
      <c r="C25" s="6">
        <f t="shared" si="1"/>
        <v>74.27184466019418</v>
      </c>
      <c r="D25" s="6">
        <f t="shared" si="2"/>
        <v>80.95238095238095</v>
      </c>
      <c r="E25" s="6">
        <f t="shared" si="3"/>
        <v>87.38317757009345</v>
      </c>
      <c r="F25" s="6">
        <f t="shared" si="4"/>
        <v>93.57798165137615</v>
      </c>
      <c r="G25" s="6">
        <f t="shared" si="5"/>
        <v>96.5909090909091</v>
      </c>
      <c r="H25" s="6">
        <f t="shared" si="6"/>
        <v>99.54954954954955</v>
      </c>
      <c r="I25" s="6">
        <f t="shared" si="7"/>
        <v>105.30973451327434</v>
      </c>
      <c r="J25" s="6">
        <f t="shared" si="8"/>
        <v>110.8695652173913</v>
      </c>
      <c r="K25" s="6">
        <f t="shared" si="9"/>
        <v>118.85593220338983</v>
      </c>
      <c r="L25" s="6">
        <f t="shared" si="10"/>
        <v>123.95833333333333</v>
      </c>
      <c r="M25" s="6">
        <f t="shared" si="11"/>
        <v>128.89344262295083</v>
      </c>
      <c r="N25" s="6">
        <f t="shared" si="12"/>
        <v>136</v>
      </c>
      <c r="O25" s="4">
        <f t="shared" si="13"/>
        <v>147.1153846153846</v>
      </c>
      <c r="P25" s="6">
        <f t="shared" si="14"/>
        <v>157.40740740740742</v>
      </c>
      <c r="Q25" s="6">
        <f t="shared" si="15"/>
        <v>166.96428571428572</v>
      </c>
      <c r="R25" s="6">
        <f t="shared" si="16"/>
        <v>175.86206896551724</v>
      </c>
      <c r="S25" s="6">
        <f t="shared" si="17"/>
        <v>191.93548387096774</v>
      </c>
      <c r="T25" s="6">
        <f t="shared" si="18"/>
        <v>199.21875</v>
      </c>
      <c r="U25" s="6">
        <f t="shared" si="19"/>
        <v>206.06060606060606</v>
      </c>
      <c r="V25" s="6">
        <f t="shared" si="20"/>
        <v>212.5</v>
      </c>
      <c r="W25" s="6">
        <f t="shared" si="21"/>
        <v>218.57142857142858</v>
      </c>
      <c r="X25" s="6">
        <f t="shared" si="22"/>
        <v>224.30555555555554</v>
      </c>
      <c r="Y25" s="6">
        <f t="shared" si="23"/>
        <v>229.72972972972974</v>
      </c>
      <c r="Z25" s="6">
        <f t="shared" si="24"/>
        <v>234.8684210526316</v>
      </c>
      <c r="AA25" s="6">
        <f t="shared" si="25"/>
        <v>239.74358974358975</v>
      </c>
      <c r="AB25" s="6">
        <f t="shared" si="26"/>
        <v>248.78048780487805</v>
      </c>
      <c r="AC25" s="6">
        <f t="shared" si="27"/>
        <v>252.97619047619048</v>
      </c>
      <c r="AD25" s="6">
        <f t="shared" si="28"/>
        <v>256.9767441860465</v>
      </c>
      <c r="AE25" s="6">
        <f t="shared" si="29"/>
        <v>264.44444444444446</v>
      </c>
      <c r="AF25" s="6">
        <f t="shared" si="30"/>
        <v>267.9347826086956</v>
      </c>
      <c r="AG25" s="6">
        <f t="shared" si="31"/>
        <v>271.27659574468083</v>
      </c>
      <c r="AH25" s="6">
        <f t="shared" si="32"/>
        <v>277.55102040816325</v>
      </c>
    </row>
    <row r="26" spans="1:34" ht="12.75">
      <c r="A26" s="5">
        <v>450</v>
      </c>
      <c r="B26" s="6">
        <f t="shared" si="0"/>
        <v>67.9245283018868</v>
      </c>
      <c r="C26" s="6">
        <f t="shared" si="1"/>
        <v>75</v>
      </c>
      <c r="D26" s="6">
        <f t="shared" si="2"/>
        <v>81.81818181818181</v>
      </c>
      <c r="E26" s="6">
        <f t="shared" si="3"/>
        <v>88.39285714285714</v>
      </c>
      <c r="F26" s="6">
        <f t="shared" si="4"/>
        <v>94.73684210526316</v>
      </c>
      <c r="G26" s="6">
        <f t="shared" si="5"/>
        <v>97.82608695652173</v>
      </c>
      <c r="H26" s="6">
        <f t="shared" si="6"/>
        <v>100.86206896551724</v>
      </c>
      <c r="I26" s="6">
        <f t="shared" si="7"/>
        <v>106.77966101694915</v>
      </c>
      <c r="J26" s="6">
        <f t="shared" si="8"/>
        <v>112.5</v>
      </c>
      <c r="K26" s="6">
        <f t="shared" si="9"/>
        <v>120.73170731707317</v>
      </c>
      <c r="L26" s="6">
        <f t="shared" si="10"/>
        <v>126</v>
      </c>
      <c r="M26" s="6">
        <f t="shared" si="11"/>
        <v>131.10236220472441</v>
      </c>
      <c r="N26" s="6">
        <f t="shared" si="12"/>
        <v>138.46153846153845</v>
      </c>
      <c r="O26" s="4">
        <f t="shared" si="13"/>
        <v>150</v>
      </c>
      <c r="P26" s="6">
        <f t="shared" si="14"/>
        <v>160.71428571428572</v>
      </c>
      <c r="Q26" s="6">
        <f t="shared" si="15"/>
        <v>170.68965517241378</v>
      </c>
      <c r="R26" s="6">
        <f t="shared" si="16"/>
        <v>180</v>
      </c>
      <c r="S26" s="6">
        <f t="shared" si="17"/>
        <v>196.875</v>
      </c>
      <c r="T26" s="6">
        <f t="shared" si="18"/>
        <v>204.54545454545453</v>
      </c>
      <c r="U26" s="6">
        <f t="shared" si="19"/>
        <v>211.76470588235293</v>
      </c>
      <c r="V26" s="6">
        <f t="shared" si="20"/>
        <v>218.57142857142858</v>
      </c>
      <c r="W26" s="6">
        <f t="shared" si="21"/>
        <v>225</v>
      </c>
      <c r="X26" s="6">
        <f t="shared" si="22"/>
        <v>231.0810810810811</v>
      </c>
      <c r="Y26" s="6">
        <f t="shared" si="23"/>
        <v>236.8421052631579</v>
      </c>
      <c r="Z26" s="6">
        <f t="shared" si="24"/>
        <v>242.30769230769232</v>
      </c>
      <c r="AA26" s="6">
        <f t="shared" si="25"/>
        <v>247.5</v>
      </c>
      <c r="AB26" s="6">
        <f t="shared" si="26"/>
        <v>257.14285714285717</v>
      </c>
      <c r="AC26" s="6">
        <f t="shared" si="27"/>
        <v>261.6279069767442</v>
      </c>
      <c r="AD26" s="6">
        <f t="shared" si="28"/>
        <v>265.90909090909093</v>
      </c>
      <c r="AE26" s="6">
        <f t="shared" si="29"/>
        <v>273.9130434782609</v>
      </c>
      <c r="AF26" s="6">
        <f t="shared" si="30"/>
        <v>277.6595744680851</v>
      </c>
      <c r="AG26" s="6">
        <f t="shared" si="31"/>
        <v>281.25</v>
      </c>
      <c r="AH26" s="6">
        <f t="shared" si="32"/>
        <v>288</v>
      </c>
    </row>
    <row r="27" spans="1:34" ht="12.75">
      <c r="A27" s="5">
        <v>475</v>
      </c>
      <c r="B27" s="6">
        <f t="shared" si="0"/>
        <v>68.46846846846847</v>
      </c>
      <c r="C27" s="6">
        <f t="shared" si="1"/>
        <v>75.66371681415929</v>
      </c>
      <c r="D27" s="6">
        <f t="shared" si="2"/>
        <v>82.6086956521739</v>
      </c>
      <c r="E27" s="6">
        <f t="shared" si="3"/>
        <v>89.31623931623932</v>
      </c>
      <c r="F27" s="6">
        <f t="shared" si="4"/>
        <v>95.7983193277311</v>
      </c>
      <c r="G27" s="6">
        <f t="shared" si="5"/>
        <v>98.95833333333333</v>
      </c>
      <c r="H27" s="6">
        <f t="shared" si="6"/>
        <v>102.06611570247934</v>
      </c>
      <c r="I27" s="6">
        <f t="shared" si="7"/>
        <v>108.130081300813</v>
      </c>
      <c r="J27" s="6">
        <f t="shared" si="8"/>
        <v>114</v>
      </c>
      <c r="K27" s="6">
        <f t="shared" si="9"/>
        <v>122.4609375</v>
      </c>
      <c r="L27" s="6">
        <f t="shared" si="10"/>
        <v>127.88461538461539</v>
      </c>
      <c r="M27" s="6">
        <f t="shared" si="11"/>
        <v>133.1439393939394</v>
      </c>
      <c r="N27" s="6">
        <f t="shared" si="12"/>
        <v>140.74074074074073</v>
      </c>
      <c r="O27" s="4">
        <f t="shared" si="13"/>
        <v>152.67857142857142</v>
      </c>
      <c r="P27" s="6">
        <f t="shared" si="14"/>
        <v>163.79310344827587</v>
      </c>
      <c r="Q27" s="6">
        <f t="shared" si="15"/>
        <v>174.16666666666666</v>
      </c>
      <c r="R27" s="6">
        <f t="shared" si="16"/>
        <v>183.8709677419355</v>
      </c>
      <c r="S27" s="6">
        <f t="shared" si="17"/>
        <v>201.5151515151515</v>
      </c>
      <c r="T27" s="6">
        <f t="shared" si="18"/>
        <v>209.55882352941177</v>
      </c>
      <c r="U27" s="6">
        <f t="shared" si="19"/>
        <v>217.14285714285714</v>
      </c>
      <c r="V27" s="6">
        <f t="shared" si="20"/>
        <v>224.30555555555554</v>
      </c>
      <c r="W27" s="6">
        <f t="shared" si="21"/>
        <v>231.0810810810811</v>
      </c>
      <c r="X27" s="6">
        <f t="shared" si="22"/>
        <v>237.5</v>
      </c>
      <c r="Y27" s="6">
        <f t="shared" si="23"/>
        <v>243.5897435897436</v>
      </c>
      <c r="Z27" s="6">
        <f t="shared" si="24"/>
        <v>249.375</v>
      </c>
      <c r="AA27" s="6">
        <f t="shared" si="25"/>
        <v>254.8780487804878</v>
      </c>
      <c r="AB27" s="6">
        <f t="shared" si="26"/>
        <v>265.1162790697674</v>
      </c>
      <c r="AC27" s="6">
        <f t="shared" si="27"/>
        <v>269.8863636363636</v>
      </c>
      <c r="AD27" s="6">
        <f t="shared" si="28"/>
        <v>274.44444444444446</v>
      </c>
      <c r="AE27" s="6">
        <f t="shared" si="29"/>
        <v>282.97872340425533</v>
      </c>
      <c r="AF27" s="6">
        <f t="shared" si="30"/>
        <v>286.9791666666667</v>
      </c>
      <c r="AG27" s="6">
        <f t="shared" si="31"/>
        <v>290.81632653061223</v>
      </c>
      <c r="AH27" s="6">
        <f t="shared" si="32"/>
        <v>298.03921568627453</v>
      </c>
    </row>
    <row r="28" spans="1:34" ht="12.75">
      <c r="A28" s="5">
        <v>500</v>
      </c>
      <c r="B28" s="6">
        <f t="shared" si="0"/>
        <v>68.96551724137932</v>
      </c>
      <c r="C28" s="6">
        <f t="shared" si="1"/>
        <v>76.27118644067797</v>
      </c>
      <c r="D28" s="6">
        <f t="shared" si="2"/>
        <v>83.33333333333333</v>
      </c>
      <c r="E28" s="6">
        <f t="shared" si="3"/>
        <v>90.1639344262295</v>
      </c>
      <c r="F28" s="6">
        <f t="shared" si="4"/>
        <v>96.7741935483871</v>
      </c>
      <c r="G28" s="6">
        <f t="shared" si="5"/>
        <v>100</v>
      </c>
      <c r="H28" s="6">
        <f t="shared" si="6"/>
        <v>103.17460317460318</v>
      </c>
      <c r="I28" s="6">
        <f t="shared" si="7"/>
        <v>109.375</v>
      </c>
      <c r="J28" s="6">
        <f t="shared" si="8"/>
        <v>115.38461538461539</v>
      </c>
      <c r="K28" s="6">
        <f t="shared" si="9"/>
        <v>124.06015037593986</v>
      </c>
      <c r="L28" s="6">
        <f t="shared" si="10"/>
        <v>129.62962962962962</v>
      </c>
      <c r="M28" s="6">
        <f t="shared" si="11"/>
        <v>135.03649635036496</v>
      </c>
      <c r="N28" s="6">
        <f t="shared" si="12"/>
        <v>142.85714285714286</v>
      </c>
      <c r="O28" s="4">
        <f t="shared" si="13"/>
        <v>155.17241379310346</v>
      </c>
      <c r="P28" s="6">
        <f t="shared" si="14"/>
        <v>166.66666666666666</v>
      </c>
      <c r="Q28" s="6">
        <f t="shared" si="15"/>
        <v>177.41935483870967</v>
      </c>
      <c r="R28" s="6">
        <f t="shared" si="16"/>
        <v>187.5</v>
      </c>
      <c r="S28" s="6">
        <f t="shared" si="17"/>
        <v>205.88235294117646</v>
      </c>
      <c r="T28" s="6">
        <f t="shared" si="18"/>
        <v>214.28571428571428</v>
      </c>
      <c r="U28" s="6">
        <f t="shared" si="19"/>
        <v>222.22222222222223</v>
      </c>
      <c r="V28" s="6">
        <f t="shared" si="20"/>
        <v>229.72972972972974</v>
      </c>
      <c r="W28" s="6">
        <f t="shared" si="21"/>
        <v>236.8421052631579</v>
      </c>
      <c r="X28" s="6">
        <f t="shared" si="22"/>
        <v>243.5897435897436</v>
      </c>
      <c r="Y28" s="6">
        <f t="shared" si="23"/>
        <v>250</v>
      </c>
      <c r="Z28" s="6">
        <f t="shared" si="24"/>
        <v>256.0975609756098</v>
      </c>
      <c r="AA28" s="6">
        <f t="shared" si="25"/>
        <v>261.9047619047619</v>
      </c>
      <c r="AB28" s="6">
        <f t="shared" si="26"/>
        <v>272.72727272727275</v>
      </c>
      <c r="AC28" s="6">
        <f t="shared" si="27"/>
        <v>277.77777777777777</v>
      </c>
      <c r="AD28" s="6">
        <f t="shared" si="28"/>
        <v>282.60869565217394</v>
      </c>
      <c r="AE28" s="6">
        <f t="shared" si="29"/>
        <v>291.6666666666667</v>
      </c>
      <c r="AF28" s="6">
        <f t="shared" si="30"/>
        <v>295.9183673469388</v>
      </c>
      <c r="AG28" s="6">
        <f t="shared" si="31"/>
        <v>300</v>
      </c>
      <c r="AH28" s="6">
        <f t="shared" si="32"/>
        <v>307.6923076923077</v>
      </c>
    </row>
    <row r="29" spans="1:34" ht="12.75">
      <c r="A29" s="5">
        <v>525</v>
      </c>
      <c r="B29" s="6">
        <f t="shared" si="0"/>
        <v>69.42148760330579</v>
      </c>
      <c r="C29" s="6">
        <f t="shared" si="1"/>
        <v>76.82926829268293</v>
      </c>
      <c r="D29" s="6">
        <f t="shared" si="2"/>
        <v>84</v>
      </c>
      <c r="E29" s="6">
        <f t="shared" si="3"/>
        <v>90.94488188976378</v>
      </c>
      <c r="F29" s="6">
        <f t="shared" si="4"/>
        <v>97.67441860465117</v>
      </c>
      <c r="G29" s="6">
        <f t="shared" si="5"/>
        <v>100.96153846153847</v>
      </c>
      <c r="H29" s="6">
        <f t="shared" si="6"/>
        <v>104.19847328244275</v>
      </c>
      <c r="I29" s="6">
        <f t="shared" si="7"/>
        <v>110.52631578947368</v>
      </c>
      <c r="J29" s="6">
        <f t="shared" si="8"/>
        <v>116.66666666666667</v>
      </c>
      <c r="K29" s="6">
        <f t="shared" si="9"/>
        <v>125.54347826086956</v>
      </c>
      <c r="L29" s="6">
        <f t="shared" si="10"/>
        <v>131.25</v>
      </c>
      <c r="M29" s="6">
        <f t="shared" si="11"/>
        <v>136.79577464788733</v>
      </c>
      <c r="N29" s="6">
        <f t="shared" si="12"/>
        <v>144.82758620689654</v>
      </c>
      <c r="O29" s="4">
        <f t="shared" si="13"/>
        <v>157.5</v>
      </c>
      <c r="P29" s="6">
        <f t="shared" si="14"/>
        <v>169.3548387096774</v>
      </c>
      <c r="Q29" s="6">
        <f t="shared" si="15"/>
        <v>180.46875</v>
      </c>
      <c r="R29" s="6">
        <f t="shared" si="16"/>
        <v>190.9090909090909</v>
      </c>
      <c r="S29" s="6">
        <f t="shared" si="17"/>
        <v>210</v>
      </c>
      <c r="T29" s="6">
        <f t="shared" si="18"/>
        <v>218.75</v>
      </c>
      <c r="U29" s="6">
        <f t="shared" si="19"/>
        <v>227.02702702702703</v>
      </c>
      <c r="V29" s="6">
        <f t="shared" si="20"/>
        <v>234.8684210526316</v>
      </c>
      <c r="W29" s="6">
        <f t="shared" si="21"/>
        <v>242.30769230769232</v>
      </c>
      <c r="X29" s="6">
        <f t="shared" si="22"/>
        <v>249.375</v>
      </c>
      <c r="Y29" s="6">
        <f t="shared" si="23"/>
        <v>256.0975609756098</v>
      </c>
      <c r="Z29" s="6">
        <f t="shared" si="24"/>
        <v>262.5</v>
      </c>
      <c r="AA29" s="6">
        <f t="shared" si="25"/>
        <v>268.6046511627907</v>
      </c>
      <c r="AB29" s="6">
        <f t="shared" si="26"/>
        <v>280</v>
      </c>
      <c r="AC29" s="6">
        <f t="shared" si="27"/>
        <v>285.32608695652175</v>
      </c>
      <c r="AD29" s="6">
        <f t="shared" si="28"/>
        <v>290.4255319148936</v>
      </c>
      <c r="AE29" s="6">
        <f t="shared" si="29"/>
        <v>300</v>
      </c>
      <c r="AF29" s="6">
        <f t="shared" si="30"/>
        <v>304.5</v>
      </c>
      <c r="AG29" s="6">
        <f t="shared" si="31"/>
        <v>308.8235294117647</v>
      </c>
      <c r="AH29" s="6">
        <f t="shared" si="32"/>
        <v>316.9811320754717</v>
      </c>
    </row>
    <row r="30" spans="1:34" ht="12.75">
      <c r="A30" s="5">
        <v>550</v>
      </c>
      <c r="B30" s="6">
        <f t="shared" si="0"/>
        <v>69.84126984126983</v>
      </c>
      <c r="C30" s="6">
        <f t="shared" si="1"/>
        <v>77.34375</v>
      </c>
      <c r="D30" s="6">
        <f t="shared" si="2"/>
        <v>84.61538461538461</v>
      </c>
      <c r="E30" s="6">
        <f t="shared" si="3"/>
        <v>91.66666666666667</v>
      </c>
      <c r="F30" s="6">
        <f t="shared" si="4"/>
        <v>98.50746268656717</v>
      </c>
      <c r="G30" s="6">
        <f t="shared" si="5"/>
        <v>101.85185185185185</v>
      </c>
      <c r="H30" s="6">
        <f t="shared" si="6"/>
        <v>105.1470588235294</v>
      </c>
      <c r="I30" s="6">
        <f t="shared" si="7"/>
        <v>111.59420289855072</v>
      </c>
      <c r="J30" s="6">
        <f t="shared" si="8"/>
        <v>117.85714285714286</v>
      </c>
      <c r="K30" s="6">
        <f t="shared" si="9"/>
        <v>126.92307692307692</v>
      </c>
      <c r="L30" s="6">
        <f t="shared" si="10"/>
        <v>132.75862068965517</v>
      </c>
      <c r="M30" s="6">
        <f t="shared" si="11"/>
        <v>138.43537414965985</v>
      </c>
      <c r="N30" s="6">
        <f t="shared" si="12"/>
        <v>146.66666666666666</v>
      </c>
      <c r="O30" s="4">
        <f t="shared" si="13"/>
        <v>159.67741935483872</v>
      </c>
      <c r="P30" s="6">
        <f t="shared" si="14"/>
        <v>171.875</v>
      </c>
      <c r="Q30" s="6">
        <f t="shared" si="15"/>
        <v>183.33333333333334</v>
      </c>
      <c r="R30" s="6">
        <f t="shared" si="16"/>
        <v>194.11764705882354</v>
      </c>
      <c r="S30" s="6">
        <f t="shared" si="17"/>
        <v>213.88888888888889</v>
      </c>
      <c r="T30" s="6">
        <f t="shared" si="18"/>
        <v>222.97297297297297</v>
      </c>
      <c r="U30" s="6">
        <f t="shared" si="19"/>
        <v>231.57894736842104</v>
      </c>
      <c r="V30" s="6">
        <f t="shared" si="20"/>
        <v>239.74358974358975</v>
      </c>
      <c r="W30" s="6">
        <f t="shared" si="21"/>
        <v>247.5</v>
      </c>
      <c r="X30" s="6">
        <f t="shared" si="22"/>
        <v>254.8780487804878</v>
      </c>
      <c r="Y30" s="6">
        <f t="shared" si="23"/>
        <v>261.9047619047619</v>
      </c>
      <c r="Z30" s="6">
        <f t="shared" si="24"/>
        <v>268.6046511627907</v>
      </c>
      <c r="AA30" s="6">
        <f t="shared" si="25"/>
        <v>275</v>
      </c>
      <c r="AB30" s="6">
        <f t="shared" si="26"/>
        <v>286.95652173913044</v>
      </c>
      <c r="AC30" s="6">
        <f t="shared" si="27"/>
        <v>292.5531914893617</v>
      </c>
      <c r="AD30" s="6">
        <f t="shared" si="28"/>
        <v>297.9166666666667</v>
      </c>
      <c r="AE30" s="6">
        <f t="shared" si="29"/>
        <v>308</v>
      </c>
      <c r="AF30" s="6">
        <f t="shared" si="30"/>
        <v>312.7450980392157</v>
      </c>
      <c r="AG30" s="6">
        <f t="shared" si="31"/>
        <v>317.3076923076923</v>
      </c>
      <c r="AH30" s="6">
        <f t="shared" si="32"/>
        <v>325.9259259259259</v>
      </c>
    </row>
    <row r="31" spans="1:34" ht="12.75">
      <c r="A31" s="5">
        <v>600</v>
      </c>
      <c r="B31" s="6">
        <f t="shared" si="0"/>
        <v>70.58823529411765</v>
      </c>
      <c r="C31" s="6">
        <f t="shared" si="1"/>
        <v>78.26086956521739</v>
      </c>
      <c r="D31" s="6">
        <f t="shared" si="2"/>
        <v>85.71428571428571</v>
      </c>
      <c r="E31" s="6">
        <f t="shared" si="3"/>
        <v>92.95774647887323</v>
      </c>
      <c r="F31" s="6">
        <f t="shared" si="4"/>
        <v>100</v>
      </c>
      <c r="G31" s="6">
        <f t="shared" si="5"/>
        <v>103.44827586206897</v>
      </c>
      <c r="H31" s="6">
        <f t="shared" si="6"/>
        <v>106.84931506849315</v>
      </c>
      <c r="I31" s="6">
        <f t="shared" si="7"/>
        <v>113.51351351351352</v>
      </c>
      <c r="J31" s="6">
        <f t="shared" si="8"/>
        <v>120</v>
      </c>
      <c r="K31" s="6">
        <f t="shared" si="9"/>
        <v>129.41176470588235</v>
      </c>
      <c r="L31" s="6">
        <f t="shared" si="10"/>
        <v>135.48387096774192</v>
      </c>
      <c r="M31" s="6">
        <f t="shared" si="11"/>
        <v>141.40127388535032</v>
      </c>
      <c r="N31" s="6">
        <f t="shared" si="12"/>
        <v>150</v>
      </c>
      <c r="O31" s="4">
        <f t="shared" si="13"/>
        <v>163.63636363636363</v>
      </c>
      <c r="P31" s="6">
        <f t="shared" si="14"/>
        <v>176.47058823529412</v>
      </c>
      <c r="Q31" s="6">
        <f t="shared" si="15"/>
        <v>188.57142857142858</v>
      </c>
      <c r="R31" s="6">
        <f t="shared" si="16"/>
        <v>200</v>
      </c>
      <c r="S31" s="6">
        <f t="shared" si="17"/>
        <v>221.05263157894737</v>
      </c>
      <c r="T31" s="6">
        <f t="shared" si="18"/>
        <v>230.76923076923077</v>
      </c>
      <c r="U31" s="6">
        <f t="shared" si="19"/>
        <v>240</v>
      </c>
      <c r="V31" s="6">
        <f t="shared" si="20"/>
        <v>248.78048780487805</v>
      </c>
      <c r="W31" s="6">
        <f t="shared" si="21"/>
        <v>257.14285714285717</v>
      </c>
      <c r="X31" s="6">
        <f t="shared" si="22"/>
        <v>265.1162790697674</v>
      </c>
      <c r="Y31" s="6">
        <f t="shared" si="23"/>
        <v>272.72727272727275</v>
      </c>
      <c r="Z31" s="6">
        <f t="shared" si="24"/>
        <v>280</v>
      </c>
      <c r="AA31" s="6">
        <f t="shared" si="25"/>
        <v>286.95652173913044</v>
      </c>
      <c r="AB31" s="6">
        <f t="shared" si="26"/>
        <v>300</v>
      </c>
      <c r="AC31" s="6">
        <f t="shared" si="27"/>
        <v>306.1224489795918</v>
      </c>
      <c r="AD31" s="6">
        <f t="shared" si="28"/>
        <v>312</v>
      </c>
      <c r="AE31" s="6">
        <f t="shared" si="29"/>
        <v>323.0769230769231</v>
      </c>
      <c r="AF31" s="6">
        <f t="shared" si="30"/>
        <v>328.3018867924528</v>
      </c>
      <c r="AG31" s="6">
        <f t="shared" si="31"/>
        <v>333.3333333333333</v>
      </c>
      <c r="AH31" s="6">
        <f t="shared" si="32"/>
        <v>342.85714285714283</v>
      </c>
    </row>
    <row r="32" spans="1:34" ht="12.75">
      <c r="A32" s="5">
        <v>625</v>
      </c>
      <c r="B32" s="6">
        <f t="shared" si="0"/>
        <v>70.92198581560284</v>
      </c>
      <c r="C32" s="6">
        <f t="shared" si="1"/>
        <v>78.67132867132867</v>
      </c>
      <c r="D32" s="6">
        <f t="shared" si="2"/>
        <v>86.20689655172414</v>
      </c>
      <c r="E32" s="6">
        <f t="shared" si="3"/>
        <v>93.5374149659864</v>
      </c>
      <c r="F32" s="6">
        <f t="shared" si="4"/>
        <v>100.67114093959732</v>
      </c>
      <c r="G32" s="6">
        <f t="shared" si="5"/>
        <v>104.16666666666667</v>
      </c>
      <c r="H32" s="6">
        <f t="shared" si="6"/>
        <v>107.6158940397351</v>
      </c>
      <c r="I32" s="6">
        <f t="shared" si="7"/>
        <v>114.37908496732027</v>
      </c>
      <c r="J32" s="6">
        <f t="shared" si="8"/>
        <v>120.96774193548387</v>
      </c>
      <c r="K32" s="6">
        <f t="shared" si="9"/>
        <v>130.5379746835443</v>
      </c>
      <c r="L32" s="6">
        <f t="shared" si="10"/>
        <v>136.71875</v>
      </c>
      <c r="M32" s="6">
        <f t="shared" si="11"/>
        <v>142.7469135802469</v>
      </c>
      <c r="N32" s="6">
        <f t="shared" si="12"/>
        <v>151.5151515151515</v>
      </c>
      <c r="O32" s="4">
        <f t="shared" si="13"/>
        <v>165.44117647058823</v>
      </c>
      <c r="P32" s="6">
        <f t="shared" si="14"/>
        <v>178.57142857142858</v>
      </c>
      <c r="Q32" s="6">
        <f t="shared" si="15"/>
        <v>190.97222222222223</v>
      </c>
      <c r="R32" s="6">
        <f t="shared" si="16"/>
        <v>202.7027027027027</v>
      </c>
      <c r="S32" s="6">
        <f t="shared" si="17"/>
        <v>224.35897435897436</v>
      </c>
      <c r="T32" s="6">
        <f t="shared" si="18"/>
        <v>234.375</v>
      </c>
      <c r="U32" s="6">
        <f t="shared" si="19"/>
        <v>243.90243902439025</v>
      </c>
      <c r="V32" s="6">
        <f t="shared" si="20"/>
        <v>252.97619047619048</v>
      </c>
      <c r="W32" s="6">
        <f t="shared" si="21"/>
        <v>261.6279069767442</v>
      </c>
      <c r="X32" s="6">
        <f t="shared" si="22"/>
        <v>269.8863636363636</v>
      </c>
      <c r="Y32" s="6">
        <f t="shared" si="23"/>
        <v>277.77777777777777</v>
      </c>
      <c r="Z32" s="6">
        <f t="shared" si="24"/>
        <v>285.32608695652175</v>
      </c>
      <c r="AA32" s="6">
        <f t="shared" si="25"/>
        <v>292.5531914893617</v>
      </c>
      <c r="AB32" s="6">
        <f t="shared" si="26"/>
        <v>306.1224489795918</v>
      </c>
      <c r="AC32" s="6">
        <f t="shared" si="27"/>
        <v>312.5</v>
      </c>
      <c r="AD32" s="6">
        <f t="shared" si="28"/>
        <v>318.62745098039215</v>
      </c>
      <c r="AE32" s="6">
        <f t="shared" si="29"/>
        <v>330.188679245283</v>
      </c>
      <c r="AF32" s="6">
        <f t="shared" si="30"/>
        <v>335.64814814814815</v>
      </c>
      <c r="AG32" s="6">
        <f t="shared" si="31"/>
        <v>340.90909090909093</v>
      </c>
      <c r="AH32" s="6">
        <f t="shared" si="32"/>
        <v>350.87719298245617</v>
      </c>
    </row>
    <row r="33" spans="1:34" ht="12.75">
      <c r="A33" s="5">
        <v>650</v>
      </c>
      <c r="B33" s="6">
        <f t="shared" si="0"/>
        <v>71.23287671232876</v>
      </c>
      <c r="C33" s="6">
        <f t="shared" si="1"/>
        <v>79.05405405405405</v>
      </c>
      <c r="D33" s="6">
        <f t="shared" si="2"/>
        <v>86.66666666666667</v>
      </c>
      <c r="E33" s="6">
        <f t="shared" si="3"/>
        <v>94.07894736842105</v>
      </c>
      <c r="F33" s="6">
        <f t="shared" si="4"/>
        <v>101.2987012987013</v>
      </c>
      <c r="G33" s="6">
        <f t="shared" si="5"/>
        <v>104.83870967741936</v>
      </c>
      <c r="H33" s="6">
        <f t="shared" si="6"/>
        <v>108.33333333333333</v>
      </c>
      <c r="I33" s="6">
        <f t="shared" si="7"/>
        <v>115.18987341772151</v>
      </c>
      <c r="J33" s="6">
        <f t="shared" si="8"/>
        <v>121.875</v>
      </c>
      <c r="K33" s="6">
        <f t="shared" si="9"/>
        <v>131.59509202453987</v>
      </c>
      <c r="L33" s="6">
        <f t="shared" si="10"/>
        <v>137.87878787878788</v>
      </c>
      <c r="M33" s="6">
        <f t="shared" si="11"/>
        <v>144.0119760479042</v>
      </c>
      <c r="N33" s="6">
        <f t="shared" si="12"/>
        <v>152.94117647058823</v>
      </c>
      <c r="O33" s="4">
        <f t="shared" si="13"/>
        <v>167.14285714285714</v>
      </c>
      <c r="P33" s="6">
        <f t="shared" si="14"/>
        <v>180.55555555555554</v>
      </c>
      <c r="Q33" s="6">
        <f t="shared" si="15"/>
        <v>193.24324324324326</v>
      </c>
      <c r="R33" s="6">
        <f t="shared" si="16"/>
        <v>205.26315789473685</v>
      </c>
      <c r="S33" s="6">
        <f t="shared" si="17"/>
        <v>227.5</v>
      </c>
      <c r="T33" s="6">
        <f t="shared" si="18"/>
        <v>237.8048780487805</v>
      </c>
      <c r="U33" s="6">
        <f t="shared" si="19"/>
        <v>247.61904761904762</v>
      </c>
      <c r="V33" s="6">
        <f t="shared" si="20"/>
        <v>256.9767441860465</v>
      </c>
      <c r="W33" s="6">
        <f t="shared" si="21"/>
        <v>265.90909090909093</v>
      </c>
      <c r="X33" s="6">
        <f t="shared" si="22"/>
        <v>274.44444444444446</v>
      </c>
      <c r="Y33" s="6">
        <f t="shared" si="23"/>
        <v>282.60869565217394</v>
      </c>
      <c r="Z33" s="6">
        <f t="shared" si="24"/>
        <v>290.4255319148936</v>
      </c>
      <c r="AA33" s="6">
        <f t="shared" si="25"/>
        <v>297.9166666666667</v>
      </c>
      <c r="AB33" s="6">
        <f t="shared" si="26"/>
        <v>312</v>
      </c>
      <c r="AC33" s="6">
        <f t="shared" si="27"/>
        <v>318.62745098039215</v>
      </c>
      <c r="AD33" s="6">
        <f t="shared" si="28"/>
        <v>325</v>
      </c>
      <c r="AE33" s="6">
        <f t="shared" si="29"/>
        <v>337.037037037037</v>
      </c>
      <c r="AF33" s="6">
        <f t="shared" si="30"/>
        <v>342.72727272727275</v>
      </c>
      <c r="AG33" s="6">
        <f t="shared" si="31"/>
        <v>348.2142857142857</v>
      </c>
      <c r="AH33" s="6">
        <f t="shared" si="32"/>
        <v>358.62068965517244</v>
      </c>
    </row>
    <row r="34" spans="1:34" ht="12.75">
      <c r="A34" s="5">
        <v>700</v>
      </c>
      <c r="B34" s="6">
        <f t="shared" si="0"/>
        <v>71.7948717948718</v>
      </c>
      <c r="C34" s="6">
        <f t="shared" si="1"/>
        <v>79.74683544303798</v>
      </c>
      <c r="D34" s="6">
        <f t="shared" si="2"/>
        <v>87.5</v>
      </c>
      <c r="E34" s="6">
        <f t="shared" si="3"/>
        <v>95.06172839506173</v>
      </c>
      <c r="F34" s="6">
        <f t="shared" si="4"/>
        <v>102.4390243902439</v>
      </c>
      <c r="G34" s="6">
        <f t="shared" si="5"/>
        <v>106.06060606060606</v>
      </c>
      <c r="H34" s="6">
        <f t="shared" si="6"/>
        <v>109.63855421686748</v>
      </c>
      <c r="I34" s="6">
        <f t="shared" si="7"/>
        <v>116.66666666666667</v>
      </c>
      <c r="J34" s="6">
        <f t="shared" si="8"/>
        <v>123.52941176470588</v>
      </c>
      <c r="K34" s="6">
        <f t="shared" si="9"/>
        <v>133.52601156069363</v>
      </c>
      <c r="L34" s="6">
        <f t="shared" si="10"/>
        <v>140</v>
      </c>
      <c r="M34" s="6">
        <f t="shared" si="11"/>
        <v>146.3276836158192</v>
      </c>
      <c r="N34" s="6">
        <f t="shared" si="12"/>
        <v>155.55555555555554</v>
      </c>
      <c r="O34" s="4">
        <f t="shared" si="13"/>
        <v>170.27027027027026</v>
      </c>
      <c r="P34" s="6">
        <f t="shared" si="14"/>
        <v>184.21052631578948</v>
      </c>
      <c r="Q34" s="6">
        <f t="shared" si="15"/>
        <v>197.43589743589743</v>
      </c>
      <c r="R34" s="6">
        <f t="shared" si="16"/>
        <v>210</v>
      </c>
      <c r="S34" s="6">
        <f t="shared" si="17"/>
        <v>233.33333333333334</v>
      </c>
      <c r="T34" s="6">
        <f t="shared" si="18"/>
        <v>244.1860465116279</v>
      </c>
      <c r="U34" s="6">
        <f t="shared" si="19"/>
        <v>254.54545454545453</v>
      </c>
      <c r="V34" s="6">
        <f t="shared" si="20"/>
        <v>264.44444444444446</v>
      </c>
      <c r="W34" s="6">
        <f t="shared" si="21"/>
        <v>273.9130434782609</v>
      </c>
      <c r="X34" s="6">
        <f t="shared" si="22"/>
        <v>282.97872340425533</v>
      </c>
      <c r="Y34" s="6">
        <f t="shared" si="23"/>
        <v>291.6666666666667</v>
      </c>
      <c r="Z34" s="6">
        <f t="shared" si="24"/>
        <v>300</v>
      </c>
      <c r="AA34" s="6">
        <f t="shared" si="25"/>
        <v>308</v>
      </c>
      <c r="AB34" s="6">
        <f t="shared" si="26"/>
        <v>323.0769230769231</v>
      </c>
      <c r="AC34" s="6">
        <f t="shared" si="27"/>
        <v>330.188679245283</v>
      </c>
      <c r="AD34" s="6">
        <f t="shared" si="28"/>
        <v>337.037037037037</v>
      </c>
      <c r="AE34" s="6">
        <f t="shared" si="29"/>
        <v>350</v>
      </c>
      <c r="AF34" s="6">
        <f t="shared" si="30"/>
        <v>356.140350877193</v>
      </c>
      <c r="AG34" s="6">
        <f t="shared" si="31"/>
        <v>362.0689655172414</v>
      </c>
      <c r="AH34" s="6">
        <f t="shared" si="32"/>
        <v>373.3333333333333</v>
      </c>
    </row>
    <row r="35" spans="1:34" ht="12.75">
      <c r="A35" s="5">
        <v>725</v>
      </c>
      <c r="B35" s="6">
        <f t="shared" si="0"/>
        <v>72.04968944099379</v>
      </c>
      <c r="C35" s="6">
        <f t="shared" si="1"/>
        <v>80.06134969325153</v>
      </c>
      <c r="D35" s="6">
        <f t="shared" si="2"/>
        <v>87.87878787878788</v>
      </c>
      <c r="E35" s="6">
        <f t="shared" si="3"/>
        <v>95.50898203592814</v>
      </c>
      <c r="F35" s="6">
        <f t="shared" si="4"/>
        <v>102.9585798816568</v>
      </c>
      <c r="G35" s="6">
        <f t="shared" si="5"/>
        <v>106.61764705882354</v>
      </c>
      <c r="H35" s="6">
        <f t="shared" si="6"/>
        <v>110.23391812865498</v>
      </c>
      <c r="I35" s="6">
        <f t="shared" si="7"/>
        <v>117.34104046242774</v>
      </c>
      <c r="J35" s="6">
        <f t="shared" si="8"/>
        <v>124.28571428571429</v>
      </c>
      <c r="K35" s="6">
        <f t="shared" si="9"/>
        <v>134.41011235955057</v>
      </c>
      <c r="L35" s="6">
        <f t="shared" si="10"/>
        <v>140.97222222222223</v>
      </c>
      <c r="M35" s="6">
        <f t="shared" si="11"/>
        <v>147.3901098901099</v>
      </c>
      <c r="N35" s="6">
        <f t="shared" si="12"/>
        <v>156.75675675675674</v>
      </c>
      <c r="O35" s="4">
        <f t="shared" si="13"/>
        <v>171.71052631578948</v>
      </c>
      <c r="P35" s="6">
        <f t="shared" si="14"/>
        <v>185.89743589743588</v>
      </c>
      <c r="Q35" s="6">
        <f t="shared" si="15"/>
        <v>199.375</v>
      </c>
      <c r="R35" s="6">
        <f t="shared" si="16"/>
        <v>212.1951219512195</v>
      </c>
      <c r="S35" s="6">
        <f t="shared" si="17"/>
        <v>236.04651162790697</v>
      </c>
      <c r="T35" s="6">
        <f t="shared" si="18"/>
        <v>247.1590909090909</v>
      </c>
      <c r="U35" s="6">
        <f t="shared" si="19"/>
        <v>257.77777777777777</v>
      </c>
      <c r="V35" s="6">
        <f t="shared" si="20"/>
        <v>267.9347826086956</v>
      </c>
      <c r="W35" s="6">
        <f t="shared" si="21"/>
        <v>277.6595744680851</v>
      </c>
      <c r="X35" s="6">
        <f t="shared" si="22"/>
        <v>286.9791666666667</v>
      </c>
      <c r="Y35" s="6">
        <f t="shared" si="23"/>
        <v>295.9183673469388</v>
      </c>
      <c r="Z35" s="6">
        <f t="shared" si="24"/>
        <v>304.5</v>
      </c>
      <c r="AA35" s="6">
        <f t="shared" si="25"/>
        <v>312.7450980392157</v>
      </c>
      <c r="AB35" s="6">
        <f t="shared" si="26"/>
        <v>328.3018867924528</v>
      </c>
      <c r="AC35" s="6">
        <f t="shared" si="27"/>
        <v>335.64814814814815</v>
      </c>
      <c r="AD35" s="6">
        <f t="shared" si="28"/>
        <v>342.72727272727275</v>
      </c>
      <c r="AE35" s="6">
        <f t="shared" si="29"/>
        <v>356.140350877193</v>
      </c>
      <c r="AF35" s="6">
        <f t="shared" si="30"/>
        <v>362.5</v>
      </c>
      <c r="AG35" s="6">
        <f t="shared" si="31"/>
        <v>368.64406779661016</v>
      </c>
      <c r="AH35" s="6">
        <f t="shared" si="32"/>
        <v>380.327868852459</v>
      </c>
    </row>
    <row r="36" spans="1:34" ht="12.75">
      <c r="A36" s="5">
        <v>750</v>
      </c>
      <c r="B36" s="6">
        <f t="shared" si="0"/>
        <v>72.28915662650603</v>
      </c>
      <c r="C36" s="6">
        <f t="shared" si="1"/>
        <v>80.35714285714286</v>
      </c>
      <c r="D36" s="6">
        <f t="shared" si="2"/>
        <v>88.23529411764706</v>
      </c>
      <c r="E36" s="6">
        <f t="shared" si="3"/>
        <v>95.93023255813954</v>
      </c>
      <c r="F36" s="6">
        <f t="shared" si="4"/>
        <v>103.44827586206897</v>
      </c>
      <c r="G36" s="6">
        <f t="shared" si="5"/>
        <v>107.14285714285714</v>
      </c>
      <c r="H36" s="6">
        <f t="shared" si="6"/>
        <v>110.79545454545455</v>
      </c>
      <c r="I36" s="6">
        <f t="shared" si="7"/>
        <v>117.97752808988764</v>
      </c>
      <c r="J36" s="6">
        <f t="shared" si="8"/>
        <v>125</v>
      </c>
      <c r="K36" s="6">
        <f t="shared" si="9"/>
        <v>135.24590163934425</v>
      </c>
      <c r="L36" s="6">
        <f t="shared" si="10"/>
        <v>141.8918918918919</v>
      </c>
      <c r="M36" s="6">
        <f t="shared" si="11"/>
        <v>148.3957219251337</v>
      </c>
      <c r="N36" s="6">
        <f t="shared" si="12"/>
        <v>157.89473684210526</v>
      </c>
      <c r="O36" s="4">
        <f t="shared" si="13"/>
        <v>173.07692307692307</v>
      </c>
      <c r="P36" s="6">
        <f t="shared" si="14"/>
        <v>187.5</v>
      </c>
      <c r="Q36" s="6">
        <f t="shared" si="15"/>
        <v>201.21951219512195</v>
      </c>
      <c r="R36" s="6">
        <f t="shared" si="16"/>
        <v>214.28571428571428</v>
      </c>
      <c r="S36" s="6">
        <f t="shared" si="17"/>
        <v>238.63636363636363</v>
      </c>
      <c r="T36" s="6">
        <f t="shared" si="18"/>
        <v>250</v>
      </c>
      <c r="U36" s="6">
        <f t="shared" si="19"/>
        <v>260.8695652173913</v>
      </c>
      <c r="V36" s="6">
        <f t="shared" si="20"/>
        <v>271.27659574468083</v>
      </c>
      <c r="W36" s="6">
        <f t="shared" si="21"/>
        <v>281.25</v>
      </c>
      <c r="X36" s="6">
        <f t="shared" si="22"/>
        <v>290.81632653061223</v>
      </c>
      <c r="Y36" s="6">
        <f t="shared" si="23"/>
        <v>300</v>
      </c>
      <c r="Z36" s="6">
        <f t="shared" si="24"/>
        <v>308.8235294117647</v>
      </c>
      <c r="AA36" s="6">
        <f t="shared" si="25"/>
        <v>317.3076923076923</v>
      </c>
      <c r="AB36" s="6">
        <f t="shared" si="26"/>
        <v>333.3333333333333</v>
      </c>
      <c r="AC36" s="6">
        <f t="shared" si="27"/>
        <v>340.90909090909093</v>
      </c>
      <c r="AD36" s="6">
        <f t="shared" si="28"/>
        <v>348.2142857142857</v>
      </c>
      <c r="AE36" s="6">
        <f t="shared" si="29"/>
        <v>362.0689655172414</v>
      </c>
      <c r="AF36" s="6">
        <f t="shared" si="30"/>
        <v>368.64406779661016</v>
      </c>
      <c r="AG36" s="6">
        <f t="shared" si="31"/>
        <v>375</v>
      </c>
      <c r="AH36" s="6">
        <f t="shared" si="32"/>
        <v>387.0967741935484</v>
      </c>
    </row>
    <row r="37" spans="1:34" ht="12.75">
      <c r="A37" s="5">
        <v>800</v>
      </c>
      <c r="B37" s="6">
        <f t="shared" si="0"/>
        <v>72.72727272727273</v>
      </c>
      <c r="C37" s="6">
        <f t="shared" si="1"/>
        <v>80.89887640449439</v>
      </c>
      <c r="D37" s="6">
        <f t="shared" si="2"/>
        <v>88.88888888888889</v>
      </c>
      <c r="E37" s="6">
        <f t="shared" si="3"/>
        <v>96.7032967032967</v>
      </c>
      <c r="F37" s="6">
        <f t="shared" si="4"/>
        <v>104.34782608695652</v>
      </c>
      <c r="G37" s="6">
        <f t="shared" si="5"/>
        <v>108.10810810810811</v>
      </c>
      <c r="H37" s="6">
        <f t="shared" si="6"/>
        <v>111.82795698924731</v>
      </c>
      <c r="I37" s="6">
        <f t="shared" si="7"/>
        <v>119.14893617021276</v>
      </c>
      <c r="J37" s="6">
        <f t="shared" si="8"/>
        <v>126.3157894736842</v>
      </c>
      <c r="K37" s="6">
        <f t="shared" si="9"/>
        <v>136.78756476683938</v>
      </c>
      <c r="L37" s="6">
        <f t="shared" si="10"/>
        <v>143.5897435897436</v>
      </c>
      <c r="M37" s="6">
        <f t="shared" si="11"/>
        <v>150.253807106599</v>
      </c>
      <c r="N37" s="6">
        <f t="shared" si="12"/>
        <v>160</v>
      </c>
      <c r="O37" s="4">
        <f t="shared" si="13"/>
        <v>175.609756097561</v>
      </c>
      <c r="P37" s="6">
        <f t="shared" si="14"/>
        <v>190.47619047619048</v>
      </c>
      <c r="Q37" s="6">
        <f t="shared" si="15"/>
        <v>204.65116279069767</v>
      </c>
      <c r="R37" s="6">
        <f t="shared" si="16"/>
        <v>218.1818181818182</v>
      </c>
      <c r="S37" s="6">
        <f t="shared" si="17"/>
        <v>243.47826086956522</v>
      </c>
      <c r="T37" s="6">
        <f t="shared" si="18"/>
        <v>255.31914893617022</v>
      </c>
      <c r="U37" s="6">
        <f t="shared" si="19"/>
        <v>266.6666666666667</v>
      </c>
      <c r="V37" s="6">
        <f t="shared" si="20"/>
        <v>277.55102040816325</v>
      </c>
      <c r="W37" s="6">
        <f t="shared" si="21"/>
        <v>288</v>
      </c>
      <c r="X37" s="6">
        <f t="shared" si="22"/>
        <v>298.03921568627453</v>
      </c>
      <c r="Y37" s="6">
        <f t="shared" si="23"/>
        <v>307.6923076923077</v>
      </c>
      <c r="Z37" s="6">
        <f t="shared" si="24"/>
        <v>316.9811320754717</v>
      </c>
      <c r="AA37" s="6">
        <f t="shared" si="25"/>
        <v>325.9259259259259</v>
      </c>
      <c r="AB37" s="6">
        <f t="shared" si="26"/>
        <v>342.85714285714283</v>
      </c>
      <c r="AC37" s="6">
        <f t="shared" si="27"/>
        <v>350.87719298245617</v>
      </c>
      <c r="AD37" s="6">
        <f t="shared" si="28"/>
        <v>358.62068965517244</v>
      </c>
      <c r="AE37" s="6">
        <f t="shared" si="29"/>
        <v>373.3333333333333</v>
      </c>
      <c r="AF37" s="6">
        <f t="shared" si="30"/>
        <v>380.327868852459</v>
      </c>
      <c r="AG37" s="6">
        <f t="shared" si="31"/>
        <v>387.0967741935484</v>
      </c>
      <c r="AH37" s="6">
        <f t="shared" si="32"/>
        <v>400</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N31"/>
  <sheetViews>
    <sheetView workbookViewId="0" topLeftCell="A1">
      <selection activeCell="E9" sqref="E9"/>
    </sheetView>
  </sheetViews>
  <sheetFormatPr defaultColWidth="9.140625" defaultRowHeight="12.75"/>
  <cols>
    <col min="1" max="1" width="13.57421875" style="0" customWidth="1"/>
  </cols>
  <sheetData>
    <row r="1" s="73" customFormat="1" ht="18">
      <c r="A1" s="73" t="s">
        <v>246</v>
      </c>
    </row>
    <row r="2" s="69" customFormat="1" ht="12.75"/>
    <row r="3" s="69" customFormat="1" ht="12.75">
      <c r="A3" s="69" t="s">
        <v>257</v>
      </c>
    </row>
    <row r="4" s="72" customFormat="1" ht="12.75">
      <c r="A4" t="s">
        <v>256</v>
      </c>
    </row>
    <row r="5" ht="12.75">
      <c r="A5" t="s">
        <v>255</v>
      </c>
    </row>
    <row r="6" ht="12.75">
      <c r="A6" t="s">
        <v>258</v>
      </c>
    </row>
    <row r="7" s="67" customFormat="1" ht="12.75">
      <c r="A7" s="67" t="s">
        <v>247</v>
      </c>
    </row>
    <row r="8" spans="1:14" ht="12.75">
      <c r="A8" t="s">
        <v>233</v>
      </c>
      <c r="B8" s="70">
        <v>105</v>
      </c>
      <c r="D8" s="70">
        <v>105</v>
      </c>
      <c r="F8" s="70">
        <v>105</v>
      </c>
      <c r="H8" s="70">
        <v>105</v>
      </c>
      <c r="J8" s="70">
        <v>85</v>
      </c>
      <c r="L8" s="70">
        <v>105</v>
      </c>
      <c r="N8" s="70">
        <v>125</v>
      </c>
    </row>
    <row r="9" spans="1:14" ht="12.75">
      <c r="A9" t="s">
        <v>232</v>
      </c>
      <c r="B9" s="70">
        <v>20</v>
      </c>
      <c r="D9" s="70">
        <v>40</v>
      </c>
      <c r="F9" s="70">
        <v>60</v>
      </c>
      <c r="H9" s="70">
        <v>80</v>
      </c>
      <c r="J9" s="70">
        <v>60</v>
      </c>
      <c r="L9" s="70">
        <v>60</v>
      </c>
      <c r="N9" s="70">
        <v>60</v>
      </c>
    </row>
    <row r="10" spans="1:14" ht="12.75">
      <c r="A10" t="s">
        <v>249</v>
      </c>
      <c r="B10" s="70">
        <v>1.107</v>
      </c>
      <c r="D10" s="70">
        <v>1.107</v>
      </c>
      <c r="F10" s="70">
        <v>1.107</v>
      </c>
      <c r="H10" s="70">
        <v>1.107</v>
      </c>
      <c r="J10" s="70">
        <v>1.107</v>
      </c>
      <c r="L10" s="70">
        <v>1.107</v>
      </c>
      <c r="N10" s="70">
        <v>1.107</v>
      </c>
    </row>
    <row r="11" spans="2:14" ht="12.75">
      <c r="B11" s="7"/>
      <c r="D11" s="7"/>
      <c r="F11" s="7"/>
      <c r="H11" s="7"/>
      <c r="J11" s="7"/>
      <c r="L11" s="7"/>
      <c r="N11" s="7"/>
    </row>
    <row r="12" spans="1:14" ht="12.75">
      <c r="A12" t="s">
        <v>250</v>
      </c>
      <c r="B12" s="68">
        <f>(0.0568*B8)/B9</f>
        <v>0.2982</v>
      </c>
      <c r="D12" s="68">
        <f>(0.0568*D8)/D9</f>
        <v>0.1491</v>
      </c>
      <c r="F12" s="68">
        <f>(0.0568*F8)/F9</f>
        <v>0.0994</v>
      </c>
      <c r="H12" s="68">
        <f>(0.0568*H8)/H9</f>
        <v>0.07455</v>
      </c>
      <c r="J12" s="68">
        <f>(0.0568*J8)/J9</f>
        <v>0.08046666666666667</v>
      </c>
      <c r="L12" s="68">
        <f>(0.0568*L8)/L9</f>
        <v>0.0994</v>
      </c>
      <c r="N12" s="68">
        <f>(0.0568*N8)/N9</f>
        <v>0.11833333333333335</v>
      </c>
    </row>
    <row r="13" spans="1:14" ht="12.75">
      <c r="A13" t="s">
        <v>252</v>
      </c>
      <c r="B13" s="68">
        <f>1/B10</f>
        <v>0.903342366757001</v>
      </c>
      <c r="D13" s="68">
        <f>1/D10</f>
        <v>0.903342366757001</v>
      </c>
      <c r="F13" s="68">
        <f>1/F10</f>
        <v>0.903342366757001</v>
      </c>
      <c r="H13" s="68">
        <f>1/H10</f>
        <v>0.903342366757001</v>
      </c>
      <c r="J13" s="68">
        <f>1/J10</f>
        <v>0.903342366757001</v>
      </c>
      <c r="L13" s="68">
        <f>1/L10</f>
        <v>0.903342366757001</v>
      </c>
      <c r="N13" s="68">
        <f>1/N10</f>
        <v>0.903342366757001</v>
      </c>
    </row>
    <row r="14" spans="1:14" ht="12.75">
      <c r="A14" t="s">
        <v>253</v>
      </c>
      <c r="B14" s="68">
        <f>B13-B12</f>
        <v>0.605142366757001</v>
      </c>
      <c r="D14" s="68">
        <f>D13-D12</f>
        <v>0.754242366757001</v>
      </c>
      <c r="F14" s="68">
        <f>F13-F12</f>
        <v>0.8039423667570009</v>
      </c>
      <c r="H14" s="68">
        <f>H13-H12</f>
        <v>0.828792366757001</v>
      </c>
      <c r="J14" s="68">
        <f>J13-J12</f>
        <v>0.8228757000903343</v>
      </c>
      <c r="L14" s="68">
        <f>L13-L12</f>
        <v>0.8039423667570009</v>
      </c>
      <c r="N14" s="68">
        <f>N13-N12</f>
        <v>0.7850090334236677</v>
      </c>
    </row>
    <row r="15" spans="2:14" ht="12.75">
      <c r="B15" s="7"/>
      <c r="D15" s="7"/>
      <c r="F15" s="7"/>
      <c r="H15" s="7"/>
      <c r="J15" s="7"/>
      <c r="L15" s="7"/>
      <c r="N15" s="7"/>
    </row>
    <row r="16" spans="1:14" ht="12.75">
      <c r="A16" t="s">
        <v>251</v>
      </c>
      <c r="B16" s="68">
        <f>1/B14</f>
        <v>1.6525036998468112</v>
      </c>
      <c r="D16" s="68">
        <f>1/D14</f>
        <v>1.325833769189707</v>
      </c>
      <c r="F16" s="68">
        <f>1/F14</f>
        <v>1.2438702590508697</v>
      </c>
      <c r="H16" s="68">
        <f>1/H14</f>
        <v>1.2065748191105101</v>
      </c>
      <c r="J16" s="68">
        <f>1/J14</f>
        <v>1.2152503712167235</v>
      </c>
      <c r="L16" s="68">
        <f>1/L14</f>
        <v>1.2438702590508697</v>
      </c>
      <c r="N16" s="68">
        <f>1/N14</f>
        <v>1.2738706911928008</v>
      </c>
    </row>
    <row r="17" spans="2:14" ht="12.75">
      <c r="B17" s="68"/>
      <c r="D17" s="68"/>
      <c r="F17" s="68"/>
      <c r="H17" s="68"/>
      <c r="J17" s="68"/>
      <c r="L17" s="68"/>
      <c r="N17" s="68"/>
    </row>
    <row r="18" spans="1:14" ht="12.75">
      <c r="A18" t="s">
        <v>254</v>
      </c>
      <c r="B18" s="71">
        <f>(B16-B10)/B10</f>
        <v>0.4927766032943191</v>
      </c>
      <c r="D18" s="71">
        <f>(D16-D10)/D10</f>
        <v>0.19768181498618528</v>
      </c>
      <c r="F18" s="71">
        <f>(F16-F10)/F10</f>
        <v>0.12364070374965645</v>
      </c>
      <c r="H18" s="71">
        <f>(H16-H10)/H10</f>
        <v>0.08995015276468847</v>
      </c>
      <c r="J18" s="71">
        <f>(J16-J10)/J10</f>
        <v>0.09778714653723897</v>
      </c>
      <c r="L18" s="71">
        <f>(L16-L10)/L10</f>
        <v>0.12364070374965645</v>
      </c>
      <c r="N18" s="71">
        <f>(N16-N10)/N10</f>
        <v>0.15074136512448136</v>
      </c>
    </row>
    <row r="20" s="67" customFormat="1" ht="12.75">
      <c r="A20" s="67" t="s">
        <v>248</v>
      </c>
    </row>
    <row r="21" spans="1:14" ht="12.75">
      <c r="A21" t="s">
        <v>233</v>
      </c>
      <c r="B21" s="70">
        <v>110</v>
      </c>
      <c r="D21" s="70">
        <v>110</v>
      </c>
      <c r="F21" s="70">
        <v>110</v>
      </c>
      <c r="H21" s="70">
        <v>110</v>
      </c>
      <c r="J21" s="70">
        <v>110</v>
      </c>
      <c r="L21" s="70">
        <v>110</v>
      </c>
      <c r="N21" s="70">
        <v>110</v>
      </c>
    </row>
    <row r="22" spans="1:14" ht="12.75">
      <c r="A22" t="s">
        <v>232</v>
      </c>
      <c r="B22" s="70">
        <v>10</v>
      </c>
      <c r="D22" s="70">
        <v>30</v>
      </c>
      <c r="F22" s="70">
        <v>60</v>
      </c>
      <c r="H22" s="70">
        <v>90</v>
      </c>
      <c r="J22" s="70">
        <v>120</v>
      </c>
      <c r="L22" s="70">
        <v>200</v>
      </c>
      <c r="N22" s="70">
        <v>300</v>
      </c>
    </row>
    <row r="23" spans="1:14" ht="12.75">
      <c r="A23" t="s">
        <v>251</v>
      </c>
      <c r="B23" s="70">
        <v>1.213</v>
      </c>
      <c r="D23" s="70">
        <v>1.213</v>
      </c>
      <c r="F23" s="70">
        <v>1.213</v>
      </c>
      <c r="H23" s="70">
        <v>1.213</v>
      </c>
      <c r="J23" s="70">
        <v>1.213</v>
      </c>
      <c r="L23" s="70">
        <v>1.213</v>
      </c>
      <c r="N23" s="70">
        <v>1.213</v>
      </c>
    </row>
    <row r="25" spans="1:14" ht="12.75">
      <c r="A25" t="s">
        <v>250</v>
      </c>
      <c r="B25" s="68">
        <f>(0.0568*B21)/B22</f>
        <v>0.6248</v>
      </c>
      <c r="D25" s="68">
        <f>(0.0568*D21)/D22</f>
        <v>0.20826666666666668</v>
      </c>
      <c r="F25" s="68">
        <f>(0.0568*F21)/F22</f>
        <v>0.10413333333333334</v>
      </c>
      <c r="H25" s="68">
        <f>(0.0568*H21)/H22</f>
        <v>0.06942222222222222</v>
      </c>
      <c r="J25" s="68">
        <f>(0.0568*J21)/J22</f>
        <v>0.05206666666666667</v>
      </c>
      <c r="L25" s="68">
        <f>(0.0568*L21)/L22</f>
        <v>0.03124</v>
      </c>
      <c r="N25" s="68">
        <f>(0.0568*N21)/N22</f>
        <v>0.020826666666666667</v>
      </c>
    </row>
    <row r="26" spans="1:14" ht="12.75">
      <c r="A26" t="s">
        <v>253</v>
      </c>
      <c r="B26" s="68">
        <f>1/B23</f>
        <v>0.8244023083264632</v>
      </c>
      <c r="D26" s="68">
        <f>1/D23</f>
        <v>0.8244023083264632</v>
      </c>
      <c r="F26" s="68">
        <f>1/F23</f>
        <v>0.8244023083264632</v>
      </c>
      <c r="H26" s="68">
        <f>1/H23</f>
        <v>0.8244023083264632</v>
      </c>
      <c r="J26" s="68">
        <f>1/J23</f>
        <v>0.8244023083264632</v>
      </c>
      <c r="L26" s="68">
        <f>1/L23</f>
        <v>0.8244023083264632</v>
      </c>
      <c r="N26" s="68">
        <f>1/N23</f>
        <v>0.8244023083264632</v>
      </c>
    </row>
    <row r="27" spans="1:14" ht="12.75">
      <c r="A27" t="s">
        <v>252</v>
      </c>
      <c r="B27" s="68">
        <f>B26+B25</f>
        <v>1.4492023083264631</v>
      </c>
      <c r="D27" s="68">
        <f>D26+D25</f>
        <v>1.03266897499313</v>
      </c>
      <c r="F27" s="68">
        <f>F26+F25</f>
        <v>0.9285356416597965</v>
      </c>
      <c r="H27" s="68">
        <f>H26+H25</f>
        <v>0.8938245305486854</v>
      </c>
      <c r="J27" s="68">
        <f>J26+J25</f>
        <v>0.8764689749931299</v>
      </c>
      <c r="L27" s="68">
        <f>L26+L25</f>
        <v>0.8556423083264633</v>
      </c>
      <c r="N27" s="68">
        <f>N26+N25</f>
        <v>0.8452289749931299</v>
      </c>
    </row>
    <row r="28" spans="2:14" ht="12.75">
      <c r="B28" s="68"/>
      <c r="D28" s="68"/>
      <c r="F28" s="68"/>
      <c r="H28" s="68"/>
      <c r="J28" s="68"/>
      <c r="L28" s="68"/>
      <c r="N28" s="68"/>
    </row>
    <row r="29" spans="1:14" ht="12.75">
      <c r="A29" t="s">
        <v>249</v>
      </c>
      <c r="B29" s="68">
        <f>1/B27</f>
        <v>0.6900347827590743</v>
      </c>
      <c r="D29" s="68">
        <f>1/D27</f>
        <v>0.9683645235944585</v>
      </c>
      <c r="F29" s="68">
        <f>1/F27</f>
        <v>1.076964582869924</v>
      </c>
      <c r="H29" s="68">
        <f>1/H27</f>
        <v>1.118787822243072</v>
      </c>
      <c r="J29" s="68">
        <f>1/J27</f>
        <v>1.1409416973462618</v>
      </c>
      <c r="L29" s="68">
        <f>1/L27</f>
        <v>1.1687126621355173</v>
      </c>
      <c r="N29" s="68">
        <f>1/N27</f>
        <v>1.1831113574970948</v>
      </c>
    </row>
    <row r="30" spans="2:14" ht="12.75">
      <c r="B30" s="7"/>
      <c r="D30" s="7"/>
      <c r="F30" s="7"/>
      <c r="H30" s="7"/>
      <c r="J30" s="7"/>
      <c r="L30" s="7"/>
      <c r="N30" s="7"/>
    </row>
    <row r="31" spans="1:14" ht="12.75">
      <c r="A31" t="s">
        <v>254</v>
      </c>
      <c r="B31" s="71">
        <f>(B23-B29)/B29</f>
        <v>0.7578824</v>
      </c>
      <c r="D31" s="71">
        <f>(D23-D29)/D29</f>
        <v>0.2526274666666667</v>
      </c>
      <c r="F31" s="71">
        <f>(F23-F29)/F29</f>
        <v>0.12631373333333334</v>
      </c>
      <c r="H31" s="71">
        <f>(H23-H29)/H29</f>
        <v>0.0842091555555555</v>
      </c>
      <c r="J31" s="71">
        <f>(J23-J29)/J29</f>
        <v>0.0631568666666667</v>
      </c>
      <c r="L31" s="71">
        <f>(L23-L29)/L29</f>
        <v>0.037894120000000045</v>
      </c>
      <c r="N31" s="71">
        <f>(N23-N29)/N29</f>
        <v>0.025262746666666693</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H50"/>
  <sheetViews>
    <sheetView workbookViewId="0" topLeftCell="A37">
      <selection activeCell="A53" sqref="A53:IV66"/>
    </sheetView>
  </sheetViews>
  <sheetFormatPr defaultColWidth="9.140625" defaultRowHeight="12.75"/>
  <cols>
    <col min="1" max="1" width="36.00390625" style="0" bestFit="1" customWidth="1"/>
    <col min="5" max="5" width="21.7109375" style="0" bestFit="1" customWidth="1"/>
    <col min="7" max="7" width="11.57421875" style="0" bestFit="1" customWidth="1"/>
    <col min="8" max="8" width="34.7109375" style="0" bestFit="1" customWidth="1"/>
  </cols>
  <sheetData>
    <row r="1" spans="1:4" ht="18">
      <c r="A1" s="38" t="s">
        <v>160</v>
      </c>
      <c r="D1" s="38" t="s">
        <v>198</v>
      </c>
    </row>
    <row r="2" spans="1:7" ht="12.75">
      <c r="A2" t="s">
        <v>107</v>
      </c>
      <c r="D2" s="7" t="s">
        <v>120</v>
      </c>
      <c r="G2" s="7" t="s">
        <v>122</v>
      </c>
    </row>
    <row r="3" spans="1:8" ht="12.75">
      <c r="A3" t="s">
        <v>108</v>
      </c>
      <c r="D3" t="s">
        <v>65</v>
      </c>
      <c r="E3" t="s">
        <v>70</v>
      </c>
      <c r="G3" t="s">
        <v>74</v>
      </c>
      <c r="H3" t="s">
        <v>84</v>
      </c>
    </row>
    <row r="4" spans="1:8" ht="12.75">
      <c r="A4" t="s">
        <v>222</v>
      </c>
      <c r="D4" t="s">
        <v>66</v>
      </c>
      <c r="E4" t="s">
        <v>40</v>
      </c>
      <c r="G4" t="s">
        <v>75</v>
      </c>
      <c r="H4" t="s">
        <v>85</v>
      </c>
    </row>
    <row r="5" spans="1:8" ht="12.75">
      <c r="A5" t="s">
        <v>109</v>
      </c>
      <c r="D5" t="s">
        <v>67</v>
      </c>
      <c r="E5" t="s">
        <v>71</v>
      </c>
      <c r="G5" t="s">
        <v>76</v>
      </c>
      <c r="H5" t="s">
        <v>86</v>
      </c>
    </row>
    <row r="6" spans="1:8" ht="12.75">
      <c r="A6" t="s">
        <v>110</v>
      </c>
      <c r="D6" t="s">
        <v>143</v>
      </c>
      <c r="E6" t="s">
        <v>144</v>
      </c>
      <c r="G6" t="s">
        <v>77</v>
      </c>
      <c r="H6" t="s">
        <v>87</v>
      </c>
    </row>
    <row r="7" spans="1:8" ht="12.75">
      <c r="A7" t="s">
        <v>111</v>
      </c>
      <c r="G7" t="s">
        <v>78</v>
      </c>
      <c r="H7" t="s">
        <v>88</v>
      </c>
    </row>
    <row r="8" spans="1:8" ht="12.75">
      <c r="A8" t="s">
        <v>112</v>
      </c>
      <c r="D8" t="s">
        <v>68</v>
      </c>
      <c r="E8" t="s">
        <v>72</v>
      </c>
      <c r="G8" t="s">
        <v>79</v>
      </c>
      <c r="H8" t="s">
        <v>89</v>
      </c>
    </row>
    <row r="9" spans="1:8" ht="12.75">
      <c r="A9" t="s">
        <v>115</v>
      </c>
      <c r="D9" t="s">
        <v>69</v>
      </c>
      <c r="E9" t="s">
        <v>73</v>
      </c>
      <c r="G9" t="s">
        <v>80</v>
      </c>
      <c r="H9" t="s">
        <v>90</v>
      </c>
    </row>
    <row r="10" spans="7:8" ht="12.75">
      <c r="G10" t="s">
        <v>81</v>
      </c>
      <c r="H10" t="s">
        <v>91</v>
      </c>
    </row>
    <row r="11" spans="1:8" ht="12.75">
      <c r="A11" t="s">
        <v>127</v>
      </c>
      <c r="D11" t="s">
        <v>149</v>
      </c>
      <c r="E11" t="s">
        <v>150</v>
      </c>
      <c r="G11" t="s">
        <v>82</v>
      </c>
      <c r="H11" t="s">
        <v>92</v>
      </c>
    </row>
    <row r="12" spans="1:5" ht="12.75">
      <c r="A12" t="s">
        <v>128</v>
      </c>
      <c r="D12" t="s">
        <v>152</v>
      </c>
      <c r="E12" t="s">
        <v>155</v>
      </c>
    </row>
    <row r="13" spans="1:8" ht="12.75">
      <c r="A13" t="s">
        <v>129</v>
      </c>
      <c r="D13" t="s">
        <v>154</v>
      </c>
      <c r="E13" t="s">
        <v>156</v>
      </c>
      <c r="G13" t="s">
        <v>93</v>
      </c>
      <c r="H13" t="s">
        <v>96</v>
      </c>
    </row>
    <row r="14" spans="1:8" ht="12.75">
      <c r="A14" t="s">
        <v>132</v>
      </c>
      <c r="G14" t="s">
        <v>94</v>
      </c>
      <c r="H14" t="s">
        <v>97</v>
      </c>
    </row>
    <row r="15" spans="1:8" ht="12.75">
      <c r="A15" t="s">
        <v>135</v>
      </c>
      <c r="D15" t="s">
        <v>101</v>
      </c>
      <c r="E15" t="s">
        <v>104</v>
      </c>
      <c r="G15" t="s">
        <v>95</v>
      </c>
      <c r="H15" t="s">
        <v>98</v>
      </c>
    </row>
    <row r="16" spans="1:8" ht="12.75">
      <c r="A16" t="s">
        <v>140</v>
      </c>
      <c r="D16" t="s">
        <v>102</v>
      </c>
      <c r="E16" t="s">
        <v>105</v>
      </c>
      <c r="G16" t="s">
        <v>99</v>
      </c>
      <c r="H16" t="s">
        <v>100</v>
      </c>
    </row>
    <row r="17" spans="4:5" ht="12.75">
      <c r="D17" t="s">
        <v>103</v>
      </c>
      <c r="E17" t="s">
        <v>106</v>
      </c>
    </row>
    <row r="18" spans="1:8" ht="12.75">
      <c r="A18" t="s">
        <v>142</v>
      </c>
      <c r="G18" t="s">
        <v>113</v>
      </c>
      <c r="H18" t="s">
        <v>114</v>
      </c>
    </row>
    <row r="19" spans="1:5" ht="12.75">
      <c r="A19" t="s">
        <v>145</v>
      </c>
      <c r="D19" t="s">
        <v>12</v>
      </c>
      <c r="E19" t="s">
        <v>141</v>
      </c>
    </row>
    <row r="20" spans="1:7" ht="12.75">
      <c r="A20" t="s">
        <v>146</v>
      </c>
      <c r="G20" s="7" t="s">
        <v>219</v>
      </c>
    </row>
    <row r="21" spans="1:5" ht="12.75">
      <c r="A21" t="s">
        <v>147</v>
      </c>
      <c r="D21" t="s">
        <v>83</v>
      </c>
      <c r="E21" t="s">
        <v>159</v>
      </c>
    </row>
    <row r="22" spans="1:8" ht="12.75">
      <c r="A22" t="s">
        <v>148</v>
      </c>
      <c r="G22" t="s">
        <v>220</v>
      </c>
      <c r="H22" t="s">
        <v>223</v>
      </c>
    </row>
    <row r="23" spans="1:8" ht="12.75">
      <c r="A23" t="s">
        <v>151</v>
      </c>
      <c r="D23" s="7" t="s">
        <v>121</v>
      </c>
      <c r="G23" t="s">
        <v>221</v>
      </c>
      <c r="H23" t="s">
        <v>224</v>
      </c>
    </row>
    <row r="24" spans="1:5" ht="12.75">
      <c r="A24" t="s">
        <v>153</v>
      </c>
      <c r="D24" t="s">
        <v>116</v>
      </c>
      <c r="E24" t="s">
        <v>123</v>
      </c>
    </row>
    <row r="25" spans="4:7" ht="12.75">
      <c r="D25" t="s">
        <v>117</v>
      </c>
      <c r="E25" t="s">
        <v>124</v>
      </c>
      <c r="G25" s="7" t="s">
        <v>228</v>
      </c>
    </row>
    <row r="26" spans="1:5" ht="12.75">
      <c r="A26" t="s">
        <v>157</v>
      </c>
      <c r="D26" t="s">
        <v>118</v>
      </c>
      <c r="E26" t="s">
        <v>125</v>
      </c>
    </row>
    <row r="27" spans="4:8" ht="12.75">
      <c r="D27" t="s">
        <v>119</v>
      </c>
      <c r="E27" t="s">
        <v>126</v>
      </c>
      <c r="G27" t="s">
        <v>229</v>
      </c>
      <c r="H27" t="s">
        <v>234</v>
      </c>
    </row>
    <row r="28" spans="1:8" ht="12.75">
      <c r="A28" t="s">
        <v>158</v>
      </c>
      <c r="D28" t="s">
        <v>130</v>
      </c>
      <c r="E28" t="s">
        <v>131</v>
      </c>
      <c r="G28" t="s">
        <v>230</v>
      </c>
      <c r="H28" t="s">
        <v>233</v>
      </c>
    </row>
    <row r="29" spans="1:8" ht="12.75">
      <c r="A29" t="s">
        <v>197</v>
      </c>
      <c r="D29" t="s">
        <v>133</v>
      </c>
      <c r="E29" t="s">
        <v>134</v>
      </c>
      <c r="G29" t="s">
        <v>231</v>
      </c>
      <c r="H29" t="s">
        <v>232</v>
      </c>
    </row>
    <row r="30" spans="7:8" ht="12.75">
      <c r="G30" t="s">
        <v>236</v>
      </c>
      <c r="H30" t="s">
        <v>237</v>
      </c>
    </row>
    <row r="31" spans="4:8" ht="12.75">
      <c r="D31" s="7" t="s">
        <v>136</v>
      </c>
      <c r="G31" t="s">
        <v>238</v>
      </c>
      <c r="H31" t="s">
        <v>240</v>
      </c>
    </row>
    <row r="32" spans="1:8" ht="12.75">
      <c r="A32" t="s">
        <v>196</v>
      </c>
      <c r="D32" t="s">
        <v>0</v>
      </c>
      <c r="E32" t="s">
        <v>137</v>
      </c>
      <c r="G32" t="s">
        <v>239</v>
      </c>
      <c r="H32" t="s">
        <v>241</v>
      </c>
    </row>
    <row r="33" spans="4:5" ht="12.75">
      <c r="D33" t="s">
        <v>138</v>
      </c>
      <c r="E33" t="s">
        <v>139</v>
      </c>
    </row>
    <row r="34" ht="12.75">
      <c r="A34" t="s">
        <v>225</v>
      </c>
    </row>
    <row r="35" ht="12.75">
      <c r="A35" t="s">
        <v>226</v>
      </c>
    </row>
    <row r="36" ht="12.75">
      <c r="A36" t="s">
        <v>227</v>
      </c>
    </row>
    <row r="38" ht="12.75">
      <c r="A38" t="s">
        <v>235</v>
      </c>
    </row>
    <row r="39" ht="12.75">
      <c r="A39" t="s">
        <v>242</v>
      </c>
    </row>
    <row r="40" ht="12.75">
      <c r="A40" t="s">
        <v>243</v>
      </c>
    </row>
    <row r="41" ht="12.75">
      <c r="A41" t="s">
        <v>244</v>
      </c>
    </row>
    <row r="42" ht="12.75">
      <c r="A42" t="s">
        <v>245</v>
      </c>
    </row>
    <row r="44" ht="12.75">
      <c r="A44" t="s">
        <v>259</v>
      </c>
    </row>
    <row r="46" ht="12.75">
      <c r="A46" t="s">
        <v>260</v>
      </c>
    </row>
    <row r="47" ht="12.75">
      <c r="A47" t="s">
        <v>261</v>
      </c>
    </row>
    <row r="48" ht="12.75">
      <c r="A48" t="s">
        <v>262</v>
      </c>
    </row>
    <row r="49" ht="12.75">
      <c r="A49" t="s">
        <v>263</v>
      </c>
    </row>
    <row r="50" ht="12.75">
      <c r="A50" t="s">
        <v>264</v>
      </c>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Megolomania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Bumba Wumba</dc:creator>
  <cp:keywords/>
  <dc:description/>
  <cp:lastModifiedBy>BillaVista</cp:lastModifiedBy>
  <dcterms:created xsi:type="dcterms:W3CDTF">2004-03-25T17:25:43Z</dcterms:created>
  <dcterms:modified xsi:type="dcterms:W3CDTF">2008-04-04T00:45:02Z</dcterms:modified>
  <cp:category/>
  <cp:version/>
  <cp:contentType/>
  <cp:contentStatus/>
</cp:coreProperties>
</file>